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<sst xmlns="http://schemas.openxmlformats.org/spreadsheetml/2006/main" count="19810" uniqueCount="6170">
  <si>
    <t xml:space="preserve">CLICK WEB LINK FOR DETAILS</t>
  </si>
  <si>
    <t xml:space="preserve">SDI ID</t>
  </si>
  <si>
    <t xml:space="preserve">Manufacturer</t>
  </si>
  <si>
    <t xml:space="preserve">Model</t>
  </si>
  <si>
    <t xml:space="preserve">Description</t>
  </si>
  <si>
    <t xml:space="preserve">Qty</t>
  </si>
  <si>
    <t xml:space="preserve">Version</t>
  </si>
  <si>
    <t xml:space="preserve">Condition</t>
  </si>
  <si>
    <t xml:space="preserve">Vintage</t>
  </si>
  <si>
    <t xml:space="preserve">Sales conditions</t>
  </si>
  <si>
    <t xml:space="preserve">Lead Time</t>
  </si>
  <si>
    <t xml:space="preserve">Location</t>
  </si>
  <si>
    <t xml:space="preserve">54226</t>
  </si>
  <si>
    <t xml:space="preserve">Accretech TSK</t>
  </si>
  <si>
    <t xml:space="preserve">MHF300L</t>
  </si>
  <si>
    <t xml:space="preserve">Test head manipulators</t>
  </si>
  <si>
    <t xml:space="preserve">1</t>
  </si>
  <si>
    <t xml:space="preserve">200  mm</t>
  </si>
  <si>
    <t xml:space="preserve">good</t>
  </si>
  <si>
    <t xml:space="preserve">as is where is</t>
  </si>
  <si>
    <t xml:space="preserve">immediately</t>
  </si>
  <si>
    <t xml:space="preserve">Avezzano, Italy</t>
  </si>
  <si>
    <t xml:space="preserve">95398</t>
  </si>
  <si>
    <t xml:space="preserve">95399</t>
  </si>
  <si>
    <t xml:space="preserve">95400</t>
  </si>
  <si>
    <t xml:space="preserve">95401</t>
  </si>
  <si>
    <t xml:space="preserve">95402</t>
  </si>
  <si>
    <t xml:space="preserve">95403</t>
  </si>
  <si>
    <t xml:space="preserve">76604</t>
  </si>
  <si>
    <t xml:space="preserve">ADVANTEST</t>
  </si>
  <si>
    <t xml:space="preserve">TR6846</t>
  </si>
  <si>
    <t xml:space="preserve">Digital Multimeter</t>
  </si>
  <si>
    <t xml:space="preserve">200 mm</t>
  </si>
  <si>
    <t xml:space="preserve">excellent</t>
  </si>
  <si>
    <t xml:space="preserve">78639</t>
  </si>
  <si>
    <t xml:space="preserve">Advantest</t>
  </si>
  <si>
    <t xml:space="preserve">T5335P (Spares)</t>
  </si>
  <si>
    <t xml:space="preserve">Spare Boards from test system (See attached list for details)</t>
  </si>
  <si>
    <t xml:space="preserve">TEST</t>
  </si>
  <si>
    <t xml:space="preserve">Boerne, TX 78006 USA</t>
  </si>
  <si>
    <t xml:space="preserve">87652</t>
  </si>
  <si>
    <t xml:space="preserve">T5371</t>
  </si>
  <si>
    <t xml:space="preserve">Test system (With a single test head  )</t>
  </si>
  <si>
    <t xml:space="preserve">Test</t>
  </si>
  <si>
    <t xml:space="preserve">89909</t>
  </si>
  <si>
    <t xml:space="preserve">Hifix for PQFP80 (14 x 20)</t>
  </si>
  <si>
    <t xml:space="preserve">Hi-fix for Advantest T5371 package type PQFP80 (14 x 20)</t>
  </si>
  <si>
    <t xml:space="preserve">Spares</t>
  </si>
  <si>
    <t xml:space="preserve">Italy</t>
  </si>
  <si>
    <t xml:space="preserve">92009</t>
  </si>
  <si>
    <t xml:space="preserve">T5335P</t>
  </si>
  <si>
    <t xml:space="preserve">Boards from an Advantest T5335P Test system</t>
  </si>
  <si>
    <t xml:space="preserve">18</t>
  </si>
  <si>
    <t xml:space="preserve">spares</t>
  </si>
  <si>
    <t xml:space="preserve">BOERNE TX</t>
  </si>
  <si>
    <t xml:space="preserve">18868</t>
  </si>
  <si>
    <t xml:space="preserve">AGILENT</t>
  </si>
  <si>
    <t xml:space="preserve">05335-90021</t>
  </si>
  <si>
    <t xml:space="preserve">5335A universal frequency counter</t>
  </si>
  <si>
    <t xml:space="preserve">Electronics Test and Measurement</t>
  </si>
  <si>
    <t xml:space="preserve">Avezzano</t>
  </si>
  <si>
    <t xml:space="preserve">18869</t>
  </si>
  <si>
    <t xml:space="preserve">E4915-90030</t>
  </si>
  <si>
    <t xml:space="preserve">AGILENT cyrstall impedance LCR meter</t>
  </si>
  <si>
    <t xml:space="preserve">18870</t>
  </si>
  <si>
    <t xml:space="preserve">03577-90212</t>
  </si>
  <si>
    <t xml:space="preserve">AGILENT 3571A network analyzer service manual</t>
  </si>
  <si>
    <t xml:space="preserve">76605</t>
  </si>
  <si>
    <t xml:space="preserve">Agilent</t>
  </si>
  <si>
    <t xml:space="preserve">41501B</t>
  </si>
  <si>
    <t xml:space="preserve">SMU and PGU 2 units</t>
  </si>
  <si>
    <t xml:space="preserve">avezzano, Italy</t>
  </si>
  <si>
    <t xml:space="preserve">79588</t>
  </si>
  <si>
    <t xml:space="preserve">1671G</t>
  </si>
  <si>
    <t xml:space="preserve">Logic Analyzer</t>
  </si>
  <si>
    <t xml:space="preserve">test</t>
  </si>
  <si>
    <t xml:space="preserve">79589</t>
  </si>
  <si>
    <t xml:space="preserve">10544</t>
  </si>
  <si>
    <t xml:space="preserve">Agilent / Verigy / Keysight</t>
  </si>
  <si>
    <t xml:space="preserve">4261A</t>
  </si>
  <si>
    <t xml:space="preserve">LCR METER</t>
  </si>
  <si>
    <t xml:space="preserve">inquire</t>
  </si>
  <si>
    <t xml:space="preserve">2669</t>
  </si>
  <si>
    <t xml:space="preserve">ANGELANTONI</t>
  </si>
  <si>
    <t xml:space="preserve">T600 TU5</t>
  </si>
  <si>
    <t xml:space="preserve">Large Clean-room Oven with internal blowers</t>
  </si>
  <si>
    <t xml:space="preserve">FACILITIES</t>
  </si>
  <si>
    <t xml:space="preserve">avezzano</t>
  </si>
  <si>
    <t xml:space="preserve">10637</t>
  </si>
  <si>
    <t xml:space="preserve">Angelantoni</t>
  </si>
  <si>
    <t xml:space="preserve">T600 TUS</t>
  </si>
  <si>
    <t xml:space="preserve">34740</t>
  </si>
  <si>
    <t xml:space="preserve">AP &amp; S</t>
  </si>
  <si>
    <t xml:space="preserve">TwinStep-B H3P04</t>
  </si>
  <si>
    <t xml:space="preserve">Semi-Automatic H3PO4 2 stage Megasonic QDR</t>
  </si>
  <si>
    <t xml:space="preserve">Avezzano 67051 Italy</t>
  </si>
  <si>
    <t xml:space="preserve">3419</t>
  </si>
  <si>
    <t xml:space="preserve">Applied Materials</t>
  </si>
  <si>
    <t xml:space="preserve">P5000</t>
  </si>
  <si>
    <t xml:space="preserve">CVD System, 2 Chamber TEOS Oxide CVD</t>
  </si>
  <si>
    <t xml:space="preserve">200 MM</t>
  </si>
  <si>
    <t xml:space="preserve">Austria</t>
  </si>
  <si>
    <t xml:space="preserve">11568</t>
  </si>
  <si>
    <t xml:space="preserve">0020-0323 REV H</t>
  </si>
  <si>
    <t xml:space="preserve">Heat Exchanger</t>
  </si>
  <si>
    <t xml:space="preserve">11569</t>
  </si>
  <si>
    <t xml:space="preserve">0290-09018 Rev F</t>
  </si>
  <si>
    <t xml:space="preserve">83514</t>
  </si>
  <si>
    <t xml:space="preserve">Opal 7830i Enhanced</t>
  </si>
  <si>
    <t xml:space="preserve">CD-SEM</t>
  </si>
  <si>
    <t xml:space="preserve">84765</t>
  </si>
  <si>
    <t xml:space="preserve">Asyst</t>
  </si>
  <si>
    <t xml:space="preserve">1150-V1315S</t>
  </si>
  <si>
    <t xml:space="preserve">SMIF Load port 150mm</t>
  </si>
  <si>
    <t xml:space="preserve"> 150 MM</t>
  </si>
  <si>
    <t xml:space="preserve">fair</t>
  </si>
  <si>
    <t xml:space="preserve">Boerne, TX</t>
  </si>
  <si>
    <t xml:space="preserve">95404</t>
  </si>
  <si>
    <t xml:space="preserve">54859</t>
  </si>
  <si>
    <t xml:space="preserve">Baccini</t>
  </si>
  <si>
    <t xml:space="preserve">35MW Solar Cell Line</t>
  </si>
  <si>
    <t xml:space="preserve">Solar Cell Print line for Mono or Poly Crystalline Solar Cells</t>
  </si>
  <si>
    <t xml:space="preserve">156 mm</t>
  </si>
  <si>
    <t xml:space="preserve">Port Klang, malaysia</t>
  </si>
  <si>
    <t xml:space="preserve">77009</t>
  </si>
  <si>
    <t xml:space="preserve">Screen Printer 2</t>
  </si>
  <si>
    <t xml:space="preserve">screen printer</t>
  </si>
  <si>
    <t xml:space="preserve">Port Klang Malaysia</t>
  </si>
  <si>
    <t xml:space="preserve">77010</t>
  </si>
  <si>
    <t xml:space="preserve">Screen Printer 3</t>
  </si>
  <si>
    <t xml:space="preserve">77013</t>
  </si>
  <si>
    <t xml:space="preserve">CHIP AND CRACK CAMERA</t>
  </si>
  <si>
    <t xml:space="preserve">Chip and Crack camera</t>
  </si>
  <si>
    <t xml:space="preserve">77017</t>
  </si>
  <si>
    <t xml:space="preserve">Cell electrical tester</t>
  </si>
  <si>
    <t xml:space="preserve">Electrical Cell tester</t>
  </si>
  <si>
    <t xml:space="preserve">77021</t>
  </si>
  <si>
    <t xml:space="preserve">Dryer 1</t>
  </si>
  <si>
    <t xml:space="preserve">77022</t>
  </si>
  <si>
    <t xml:space="preserve">Dryer 2</t>
  </si>
  <si>
    <t xml:space="preserve">52164</t>
  </si>
  <si>
    <t xml:space="preserve">Canon</t>
  </si>
  <si>
    <t xml:space="preserve">FPA 3000 (Spares)</t>
  </si>
  <si>
    <t xml:space="preserve">ALS System for FPA 3000 series</t>
  </si>
  <si>
    <t xml:space="preserve">AVEZZANO</t>
  </si>
  <si>
    <t xml:space="preserve">68025</t>
  </si>
  <si>
    <t xml:space="preserve">FPA 5000 ES2+</t>
  </si>
  <si>
    <t xml:space="preserve">248 nm lithography exposure system</t>
  </si>
  <si>
    <t xml:space="preserve">200 mm (300 mm also possible with conversion kit)</t>
  </si>
  <si>
    <t xml:space="preserve">56140</t>
  </si>
  <si>
    <t xml:space="preserve">CentroTherm</t>
  </si>
  <si>
    <t xml:space="preserve">DO 12.000-200-FF-HTO-CAN-NT4.0</t>
  </si>
  <si>
    <t xml:space="preserve">Fast Firing Funace with Dryer</t>
  </si>
  <si>
    <t xml:space="preserve">156mm</t>
  </si>
  <si>
    <t xml:space="preserve">56144</t>
  </si>
  <si>
    <t xml:space="preserve">Centrotherm</t>
  </si>
  <si>
    <t xml:space="preserve">Centronic E2000</t>
  </si>
  <si>
    <t xml:space="preserve">Horizontal diffusion furnace for POCl3 doping</t>
  </si>
  <si>
    <t xml:space="preserve">80083</t>
  </si>
  <si>
    <t xml:space="preserve">COLUSSI</t>
  </si>
  <si>
    <t xml:space="preserve">UG 50 E</t>
  </si>
  <si>
    <t xml:space="preserve">AUTOCLAVE FOR STERILIZATION</t>
  </si>
  <si>
    <t xml:space="preserve">Laboratory</t>
  </si>
  <si>
    <t xml:space="preserve">78638</t>
  </si>
  <si>
    <t xml:space="preserve">Credence</t>
  </si>
  <si>
    <t xml:space="preserve">Duo SX (Spare Parts)</t>
  </si>
  <si>
    <t xml:space="preserve">SPARE PARTS FROM AUTOMATED TEST SYSTEM</t>
  </si>
  <si>
    <t xml:space="preserve">for spares use</t>
  </si>
  <si>
    <t xml:space="preserve">87089</t>
  </si>
  <si>
    <t xml:space="preserve">Personal Kalos I</t>
  </si>
  <si>
    <t xml:space="preserve">Test system</t>
  </si>
  <si>
    <t xml:space="preserve">79586</t>
  </si>
  <si>
    <t xml:space="preserve">DATA IO</t>
  </si>
  <si>
    <t xml:space="preserve">UNISITE 68</t>
  </si>
  <si>
    <t xml:space="preserve">EPROM PROGRAMMER WITH USPIN 84</t>
  </si>
  <si>
    <t xml:space="preserve">77666</t>
  </si>
  <si>
    <t xml:space="preserve">Digital Analysis</t>
  </si>
  <si>
    <t xml:space="preserve">PH10 Adjustment system</t>
  </si>
  <si>
    <t xml:space="preserve">PH Adjustment system</t>
  </si>
  <si>
    <t xml:space="preserve">79394</t>
  </si>
  <si>
    <t xml:space="preserve">Ebara</t>
  </si>
  <si>
    <t xml:space="preserve">A30W</t>
  </si>
  <si>
    <t xml:space="preserve">Vacuum Pump</t>
  </si>
  <si>
    <t xml:space="preserve">Pump</t>
  </si>
  <si>
    <t xml:space="preserve">79395</t>
  </si>
  <si>
    <t xml:space="preserve">89967</t>
  </si>
  <si>
    <t xml:space="preserve">ET300WS</t>
  </si>
  <si>
    <t xml:space="preserve">Turbo pump</t>
  </si>
  <si>
    <t xml:space="preserve">95410</t>
  </si>
  <si>
    <t xml:space="preserve">305W</t>
  </si>
  <si>
    <t xml:space="preserve">Turbo pump controller</t>
  </si>
  <si>
    <t xml:space="preserve">95411</t>
  </si>
  <si>
    <t xml:space="preserve">95413</t>
  </si>
  <si>
    <t xml:space="preserve">95414</t>
  </si>
  <si>
    <t xml:space="preserve">95415</t>
  </si>
  <si>
    <t xml:space="preserve">95416</t>
  </si>
  <si>
    <t xml:space="preserve">95417</t>
  </si>
  <si>
    <t xml:space="preserve">95418</t>
  </si>
  <si>
    <t xml:space="preserve">95419</t>
  </si>
  <si>
    <t xml:space="preserve">306W</t>
  </si>
  <si>
    <t xml:space="preserve">95420</t>
  </si>
  <si>
    <t xml:space="preserve">95421</t>
  </si>
  <si>
    <t xml:space="preserve">80052</t>
  </si>
  <si>
    <t xml:space="preserve">EDA Industries</t>
  </si>
  <si>
    <t xml:space="preserve">PCBA 05568 REV 1.3</t>
  </si>
  <si>
    <t xml:space="preserve">Pattern test Driver module for BIB oven with 3 x PSU</t>
  </si>
  <si>
    <t xml:space="preserve">Reliability</t>
  </si>
  <si>
    <t xml:space="preserve">54217</t>
  </si>
  <si>
    <t xml:space="preserve">Edwards</t>
  </si>
  <si>
    <t xml:space="preserve">iQDP80 / QMB1200</t>
  </si>
  <si>
    <t xml:space="preserve">Dry Vacuum Pump combo</t>
  </si>
  <si>
    <t xml:space="preserve">3</t>
  </si>
  <si>
    <t xml:space="preserve">pump</t>
  </si>
  <si>
    <t xml:space="preserve">AVEZZANO ITALY</t>
  </si>
  <si>
    <t xml:space="preserve">54218</t>
  </si>
  <si>
    <t xml:space="preserve">54219</t>
  </si>
  <si>
    <t xml:space="preserve">54220</t>
  </si>
  <si>
    <t xml:space="preserve">QDP80 + QMB 250F</t>
  </si>
  <si>
    <t xml:space="preserve">54221</t>
  </si>
  <si>
    <t xml:space="preserve">54222</t>
  </si>
  <si>
    <t xml:space="preserve">QDP80</t>
  </si>
  <si>
    <t xml:space="preserve">Dry Vacuum Pump</t>
  </si>
  <si>
    <t xml:space="preserve">81822</t>
  </si>
  <si>
    <t xml:space="preserve">E2M40 FSPX</t>
  </si>
  <si>
    <t xml:space="preserve">Rotary Vacuum Pump with oil filter</t>
  </si>
  <si>
    <t xml:space="preserve">89969</t>
  </si>
  <si>
    <t xml:space="preserve">D150</t>
  </si>
  <si>
    <t xml:space="preserve">Dual GRC unit</t>
  </si>
  <si>
    <t xml:space="preserve">Facilities</t>
  </si>
  <si>
    <t xml:space="preserve">95412</t>
  </si>
  <si>
    <t xml:space="preserve">95559</t>
  </si>
  <si>
    <t xml:space="preserve">iQDP40</t>
  </si>
  <si>
    <t xml:space="preserve">Dry Mechanical Pump</t>
  </si>
  <si>
    <t xml:space="preserve">78132</t>
  </si>
  <si>
    <t xml:space="preserve">Electroglas</t>
  </si>
  <si>
    <t xml:space="preserve">Horizon 4085X</t>
  </si>
  <si>
    <t xml:space="preserve">Fully Automatic Prober with an inker</t>
  </si>
  <si>
    <t xml:space="preserve">92047</t>
  </si>
  <si>
    <t xml:space="preserve">ELES</t>
  </si>
  <si>
    <t xml:space="preserve">ART 200</t>
  </si>
  <si>
    <t xml:space="preserve">Burn In Board testing system</t>
  </si>
  <si>
    <t xml:space="preserve">79596</t>
  </si>
  <si>
    <t xml:space="preserve">Elind</t>
  </si>
  <si>
    <t xml:space="preserve">KL 1200W</t>
  </si>
  <si>
    <t xml:space="preserve">Laboratory Power supply</t>
  </si>
  <si>
    <t xml:space="preserve">8</t>
  </si>
  <si>
    <t xml:space="preserve">79885</t>
  </si>
  <si>
    <t xml:space="preserve">3232</t>
  </si>
  <si>
    <t xml:space="preserve">power supply 0-3,2A current adj - 0 - 32 V voltage adj</t>
  </si>
  <si>
    <t xml:space="preserve">79887</t>
  </si>
  <si>
    <t xml:space="preserve">elind</t>
  </si>
  <si>
    <t xml:space="preserve">328</t>
  </si>
  <si>
    <t xml:space="preserve">power supply 0-0,8A current adj - 0 - 32 V voltage adj</t>
  </si>
  <si>
    <t xml:space="preserve">Lab Equipment</t>
  </si>
  <si>
    <t xml:space="preserve">83513</t>
  </si>
  <si>
    <t xml:space="preserve">Entegris</t>
  </si>
  <si>
    <t xml:space="preserve">RSPX-EUV-036</t>
  </si>
  <si>
    <t xml:space="preserve">EUV Reticle stocker</t>
  </si>
  <si>
    <t xml:space="preserve">Location A1, Avezzano, Italy</t>
  </si>
  <si>
    <t xml:space="preserve">83739</t>
  </si>
  <si>
    <t xml:space="preserve">ESI</t>
  </si>
  <si>
    <t xml:space="preserve">44</t>
  </si>
  <si>
    <t xml:space="preserve">LASER TRIMMER SPARE PARTS</t>
  </si>
  <si>
    <t xml:space="preserve">SPARES</t>
  </si>
  <si>
    <t xml:space="preserve">83515</t>
  </si>
  <si>
    <t xml:space="preserve">Extraction Systems</t>
  </si>
  <si>
    <t xml:space="preserve">TMB 150</t>
  </si>
  <si>
    <t xml:space="preserve">Photoresist Contamination Monitor System / Total Amine Analyzer</t>
  </si>
  <si>
    <t xml:space="preserve">Location A1, Avezzano</t>
  </si>
  <si>
    <t xml:space="preserve">1557</t>
  </si>
  <si>
    <t xml:space="preserve">FORTREND</t>
  </si>
  <si>
    <t xml:space="preserve">F6000QS</t>
  </si>
  <si>
    <t xml:space="preserve">6 INCH WAFER TRANSFER</t>
  </si>
  <si>
    <t xml:space="preserve">6 INCH</t>
  </si>
  <si>
    <t xml:space="preserve">95405</t>
  </si>
  <si>
    <t xml:space="preserve">Fortrend</t>
  </si>
  <si>
    <t xml:space="preserve">83516</t>
  </si>
  <si>
    <t xml:space="preserve">FSI</t>
  </si>
  <si>
    <t xml:space="preserve">Polaris 3500 (Spares)</t>
  </si>
  <si>
    <t xml:space="preserve">Spares for DUV photoresist coater / developer track</t>
  </si>
  <si>
    <t xml:space="preserve">79600</t>
  </si>
  <si>
    <t xml:space="preserve">Gigi Molina Brevetti Plastici SpA</t>
  </si>
  <si>
    <t xml:space="preserve">Custom</t>
  </si>
  <si>
    <t xml:space="preserve">Manual wet hood</t>
  </si>
  <si>
    <t xml:space="preserve">UP TO 200 mm</t>
  </si>
  <si>
    <t xml:space="preserve">Avezzqno, Italy</t>
  </si>
  <si>
    <t xml:space="preserve">95406</t>
  </si>
  <si>
    <t xml:space="preserve">95407</t>
  </si>
  <si>
    <t xml:space="preserve">Manual wet bench</t>
  </si>
  <si>
    <t xml:space="preserve">76735</t>
  </si>
  <si>
    <t xml:space="preserve">GL Automation</t>
  </si>
  <si>
    <t xml:space="preserve">IDSCOPE</t>
  </si>
  <si>
    <t xml:space="preserve">Wafer bar code reader</t>
  </si>
  <si>
    <t xml:space="preserve">76736</t>
  </si>
  <si>
    <t xml:space="preserve">76737</t>
  </si>
  <si>
    <t xml:space="preserve">76738</t>
  </si>
  <si>
    <t xml:space="preserve">76739</t>
  </si>
  <si>
    <t xml:space="preserve">79892</t>
  </si>
  <si>
    <t xml:space="preserve">Gossen Konstanter</t>
  </si>
  <si>
    <t xml:space="preserve">IEC625</t>
  </si>
  <si>
    <t xml:space="preserve">Power supply Gossen Konstanter UOP</t>
  </si>
  <si>
    <t xml:space="preserve">71907</t>
  </si>
  <si>
    <t xml:space="preserve">Hamamatsu</t>
  </si>
  <si>
    <t xml:space="preserve">C7103</t>
  </si>
  <si>
    <t xml:space="preserve">PC Controlled IC Back-side Lapping and Wafer Grinding System</t>
  </si>
  <si>
    <t xml:space="preserve">200 mm and packages</t>
  </si>
  <si>
    <t xml:space="preserve">36259</t>
  </si>
  <si>
    <t xml:space="preserve">HITACHI</t>
  </si>
  <si>
    <t xml:space="preserve">S-9300</t>
  </si>
  <si>
    <t xml:space="preserve">SEM - CD (CRITICAL DIMENSION)</t>
  </si>
  <si>
    <t xml:space="preserve">300 mm</t>
  </si>
  <si>
    <t xml:space="preserve">refurbished</t>
  </si>
  <si>
    <t xml:space="preserve">as is all rebuilt</t>
  </si>
  <si>
    <t xml:space="preserve">2 months</t>
  </si>
  <si>
    <t xml:space="preserve">CA</t>
  </si>
  <si>
    <t xml:space="preserve">56141</t>
  </si>
  <si>
    <t xml:space="preserve">Innolas</t>
  </si>
  <si>
    <t xml:space="preserve">ILS 700P</t>
  </si>
  <si>
    <t xml:space="preserve">Laser Edge Isolation</t>
  </si>
  <si>
    <t xml:space="preserve">56310</t>
  </si>
  <si>
    <t xml:space="preserve">Jonas and Redmann</t>
  </si>
  <si>
    <t xml:space="preserve">Q2 WHD A</t>
  </si>
  <si>
    <t xml:space="preserve">Loader for Centrotherm E2000 furnace</t>
  </si>
  <si>
    <t xml:space="preserve">156 mm and 125 mm</t>
  </si>
  <si>
    <t xml:space="preserve">79595</t>
  </si>
  <si>
    <t xml:space="preserve">K Tech Engineering</t>
  </si>
  <si>
    <t xml:space="preserve">BK04A</t>
  </si>
  <si>
    <t xml:space="preserve">Blister tape applicator for microelectronic components</t>
  </si>
  <si>
    <t xml:space="preserve">Assembly</t>
  </si>
  <si>
    <t xml:space="preserve">76802</t>
  </si>
  <si>
    <t xml:space="preserve">KEITHLEY</t>
  </si>
  <si>
    <t xml:space="preserve">487</t>
  </si>
  <si>
    <t xml:space="preserve">PICO AMMETER </t>
  </si>
  <si>
    <t xml:space="preserve">1680</t>
  </si>
  <si>
    <t xml:space="preserve">KLA-TENCOR</t>
  </si>
  <si>
    <t xml:space="preserve">2132</t>
  </si>
  <si>
    <t xml:space="preserve">bright-field WAFER INSPECTION</t>
  </si>
  <si>
    <t xml:space="preserve">71632</t>
  </si>
  <si>
    <t xml:space="preserve">2122</t>
  </si>
  <si>
    <t xml:space="preserve">WAFER DEFECT INSPECTION</t>
  </si>
  <si>
    <t xml:space="preserve">76682</t>
  </si>
  <si>
    <t xml:space="preserve">AIT UV</t>
  </si>
  <si>
    <t xml:space="preserve">Dark field wafer particle inspection system</t>
  </si>
  <si>
    <t xml:space="preserve">2873</t>
  </si>
  <si>
    <t xml:space="preserve">Lam</t>
  </si>
  <si>
    <t xml:space="preserve">4520 (spares)</t>
  </si>
  <si>
    <t xml:space="preserve">REMOTE CART</t>
  </si>
  <si>
    <t xml:space="preserve">95408</t>
  </si>
  <si>
    <t xml:space="preserve">15066</t>
  </si>
  <si>
    <t xml:space="preserve">LAMBDA PHYSIK</t>
  </si>
  <si>
    <t xml:space="preserve">Novaline K2005</t>
  </si>
  <si>
    <t xml:space="preserve">EXCIMER LASER</t>
  </si>
  <si>
    <t xml:space="preserve">facilities</t>
  </si>
  <si>
    <t xml:space="preserve">33542</t>
  </si>
  <si>
    <t xml:space="preserve">Liebherr</t>
  </si>
  <si>
    <t xml:space="preserve">FKV 3610</t>
  </si>
  <si>
    <t xml:space="preserve">Fridge for photoresist</t>
  </si>
  <si>
    <t xml:space="preserve">Avezzano 67051</t>
  </si>
  <si>
    <t xml:space="preserve">79571</t>
  </si>
  <si>
    <t xml:space="preserve">Mazzali</t>
  </si>
  <si>
    <t xml:space="preserve">Climatest C320G5</t>
  </si>
  <si>
    <t xml:space="preserve">Temperature and humidity testing chamber</t>
  </si>
  <si>
    <t xml:space="preserve">79572</t>
  </si>
  <si>
    <t xml:space="preserve">80038</t>
  </si>
  <si>
    <t xml:space="preserve">MDA Scientific</t>
  </si>
  <si>
    <t xml:space="preserve">System 16</t>
  </si>
  <si>
    <t xml:space="preserve">Toxic Gas Monitor</t>
  </si>
  <si>
    <t xml:space="preserve">Boerne, TEXAS</t>
  </si>
  <si>
    <t xml:space="preserve">4007</t>
  </si>
  <si>
    <t xml:space="preserve">MDC (Materials Development Corp.)</t>
  </si>
  <si>
    <t xml:space="preserve">DUO CHUCK CSM16</t>
  </si>
  <si>
    <t xml:space="preserve">CV Measurement system</t>
  </si>
  <si>
    <t xml:space="preserve">150 mm</t>
  </si>
  <si>
    <t xml:space="preserve">Avezzano  67051 Italy</t>
  </si>
  <si>
    <t xml:space="preserve">71902</t>
  </si>
  <si>
    <t xml:space="preserve">Microcontrol</t>
  </si>
  <si>
    <t xml:space="preserve">MWE Plus</t>
  </si>
  <si>
    <t xml:space="preserve">UV Wafer Eraser with cassette loading</t>
  </si>
  <si>
    <t xml:space="preserve">200 mm , 150 mm, 125 mm</t>
  </si>
  <si>
    <t xml:space="preserve">79592</t>
  </si>
  <si>
    <t xml:space="preserve">Minato Electronics</t>
  </si>
  <si>
    <t xml:space="preserve">1940</t>
  </si>
  <si>
    <t xml:space="preserve">EPROM Programmer with additional memory</t>
  </si>
  <si>
    <t xml:space="preserve">79593</t>
  </si>
  <si>
    <t xml:space="preserve">EPROM Programmer</t>
  </si>
  <si>
    <t xml:space="preserve">72156</t>
  </si>
  <si>
    <t xml:space="preserve">MRL</t>
  </si>
  <si>
    <t xml:space="preserve">Black Max</t>
  </si>
  <si>
    <t xml:space="preserve">Black max heater element, 850 celcius</t>
  </si>
  <si>
    <t xml:space="preserve">new in box</t>
  </si>
  <si>
    <t xml:space="preserve">Avezzano, 67051 Italy</t>
  </si>
  <si>
    <t xml:space="preserve">77665</t>
  </si>
  <si>
    <t xml:space="preserve">Neslab</t>
  </si>
  <si>
    <t xml:space="preserve">HX-2000</t>
  </si>
  <si>
    <t xml:space="preserve">75 KW Recirculating Chiller</t>
  </si>
  <si>
    <t xml:space="preserve">chiller</t>
  </si>
  <si>
    <t xml:space="preserve">71760</t>
  </si>
  <si>
    <t xml:space="preserve">Oxford Plasma Technology</t>
  </si>
  <si>
    <t xml:space="preserve">DP80</t>
  </si>
  <si>
    <t xml:space="preserve">PE CVD</t>
  </si>
  <si>
    <t xml:space="preserve">UP TO 8 INCH</t>
  </si>
  <si>
    <t xml:space="preserve">San Antonio, TX</t>
  </si>
  <si>
    <t xml:space="preserve">31246</t>
  </si>
  <si>
    <t xml:space="preserve">PMS</t>
  </si>
  <si>
    <t xml:space="preserve">Liquitrack 776200</t>
  </si>
  <si>
    <t xml:space="preserve">Non volatile residual Monitor</t>
  </si>
  <si>
    <t xml:space="preserve">54210</t>
  </si>
  <si>
    <t xml:space="preserve">Poly Design Inc.</t>
  </si>
  <si>
    <t xml:space="preserve">Heated Quartz Boat storage / drying system</t>
  </si>
  <si>
    <t xml:space="preserve">77670</t>
  </si>
  <si>
    <t xml:space="preserve">Rasco</t>
  </si>
  <si>
    <t xml:space="preserve">BCU-750</t>
  </si>
  <si>
    <t xml:space="preserve">Brine Chiller</t>
  </si>
  <si>
    <t xml:space="preserve">57773</t>
  </si>
  <si>
    <t xml:space="preserve">Rena</t>
  </si>
  <si>
    <t xml:space="preserve">Etcher</t>
  </si>
  <si>
    <t xml:space="preserve">In-Line Etching System </t>
  </si>
  <si>
    <t xml:space="preserve">Solar</t>
  </si>
  <si>
    <t xml:space="preserve">53053</t>
  </si>
  <si>
    <t xml:space="preserve">Rorze</t>
  </si>
  <si>
    <t xml:space="preserve">RR04L90</t>
  </si>
  <si>
    <t xml:space="preserve">Robot</t>
  </si>
  <si>
    <t xml:space="preserve">56813</t>
  </si>
  <si>
    <t xml:space="preserve">Roth &amp; Rau</t>
  </si>
  <si>
    <t xml:space="preserve">SiNA Plus</t>
  </si>
  <si>
    <t xml:space="preserve">PECVD - Deposition of Silicon Nitride</t>
  </si>
  <si>
    <t xml:space="preserve">156 mm SQUARE/125 MM</t>
  </si>
  <si>
    <t xml:space="preserve">Temple, TX</t>
  </si>
  <si>
    <t xml:space="preserve">76973</t>
  </si>
  <si>
    <t xml:space="preserve">Chiller</t>
  </si>
  <si>
    <t xml:space="preserve">79602</t>
  </si>
  <si>
    <t xml:space="preserve">Salon Teknopaja OY</t>
  </si>
  <si>
    <t xml:space="preserve">PWB </t>
  </si>
  <si>
    <t xml:space="preserve">Printed Wire Board Level Drop Tester with Solder Joint Reliability tester</t>
  </si>
  <si>
    <t xml:space="preserve">SMT</t>
  </si>
  <si>
    <t xml:space="preserve">79889</t>
  </si>
  <si>
    <t xml:space="preserve">Sanitas EG</t>
  </si>
  <si>
    <t xml:space="preserve">Multilevel </t>
  </si>
  <si>
    <t xml:space="preserve">as new</t>
  </si>
  <si>
    <t xml:space="preserve">86303</t>
  </si>
  <si>
    <t xml:space="preserve">Sankei Giken</t>
  </si>
  <si>
    <t xml:space="preserve">TCW-12000 CV</t>
  </si>
  <si>
    <t xml:space="preserve">Process Module Chiller</t>
  </si>
  <si>
    <t xml:space="preserve">69878</t>
  </si>
  <si>
    <t xml:space="preserve">SEIKO SEIKI</t>
  </si>
  <si>
    <t xml:space="preserve">STP 1000C</t>
  </si>
  <si>
    <t xml:space="preserve">TURBO PUMP TMP 100C 250 ISO-K/KF40</t>
  </si>
  <si>
    <t xml:space="preserve">VACUUM PUMP</t>
  </si>
  <si>
    <t xml:space="preserve">20268</t>
  </si>
  <si>
    <t xml:space="preserve">SEKISUI</t>
  </si>
  <si>
    <t xml:space="preserve">VANTEC SIGMA 200 K1</t>
  </si>
  <si>
    <t xml:space="preserve">Antistatic 200 MM Wafer shipping box</t>
  </si>
  <si>
    <t xml:space="preserve">9500</t>
  </si>
  <si>
    <t xml:space="preserve">new unused</t>
  </si>
  <si>
    <t xml:space="preserve">54208</t>
  </si>
  <si>
    <t xml:space="preserve">Seminet</t>
  </si>
  <si>
    <t xml:space="preserve">Infinity SACS 251216-120-CE</t>
  </si>
  <si>
    <t xml:space="preserve">Semi-Automatic Carousel Boxed Reticle Stocker </t>
  </si>
  <si>
    <t xml:space="preserve">84342</t>
  </si>
  <si>
    <t xml:space="preserve">Semitool</t>
  </si>
  <si>
    <t xml:space="preserve">ST-921R-AA</t>
  </si>
  <si>
    <t xml:space="preserve">Spin Rinse Dryer</t>
  </si>
  <si>
    <t xml:space="preserve">84351</t>
  </si>
  <si>
    <t xml:space="preserve">ST-240</t>
  </si>
  <si>
    <t xml:space="preserve">84364</t>
  </si>
  <si>
    <t xml:space="preserve">PA7230M</t>
  </si>
  <si>
    <t xml:space="preserve">SRD Rotor </t>
  </si>
  <si>
    <t xml:space="preserve"> </t>
  </si>
  <si>
    <t xml:space="preserve">84365</t>
  </si>
  <si>
    <t xml:space="preserve">A72-20M</t>
  </si>
  <si>
    <t xml:space="preserve">76610</t>
  </si>
  <si>
    <t xml:space="preserve">SHOWA</t>
  </si>
  <si>
    <t xml:space="preserve">341</t>
  </si>
  <si>
    <t xml:space="preserve">Laboratory Power Supply - 4 channel</t>
  </si>
  <si>
    <t xml:space="preserve">76611</t>
  </si>
  <si>
    <t xml:space="preserve">SHOWA ELECTRONICS</t>
  </si>
  <si>
    <t xml:space="preserve">511-16</t>
  </si>
  <si>
    <t xml:space="preserve">REGURATED DC POWER SUPPLY</t>
  </si>
  <si>
    <t xml:space="preserve">laboratory</t>
  </si>
  <si>
    <t xml:space="preserve">87607</t>
  </si>
  <si>
    <t xml:space="preserve">SMC</t>
  </si>
  <si>
    <t xml:space="preserve">INR-341-59A</t>
  </si>
  <si>
    <t xml:space="preserve">DUAL CHILLER</t>
  </si>
  <si>
    <t xml:space="preserve">89968</t>
  </si>
  <si>
    <t xml:space="preserve">INR-341-61A</t>
  </si>
  <si>
    <t xml:space="preserve">Triple Loop Chiller</t>
  </si>
  <si>
    <t xml:space="preserve">73208</t>
  </si>
  <si>
    <t xml:space="preserve">Solitec</t>
  </si>
  <si>
    <t xml:space="preserve">5110</t>
  </si>
  <si>
    <t xml:space="preserve">Spin Coater </t>
  </si>
  <si>
    <t xml:space="preserve">3 to 6 inch</t>
  </si>
  <si>
    <t xml:space="preserve">83505</t>
  </si>
  <si>
    <t xml:space="preserve">SORENSEN</t>
  </si>
  <si>
    <t xml:space="preserve">220 VOLTS</t>
  </si>
  <si>
    <t xml:space="preserve">POWER SUPPLY</t>
  </si>
  <si>
    <t xml:space="preserve">Avezzano.italy</t>
  </si>
  <si>
    <t xml:space="preserve">71904</t>
  </si>
  <si>
    <t xml:space="preserve">ST Automation</t>
  </si>
  <si>
    <t xml:space="preserve">test head</t>
  </si>
  <si>
    <t xml:space="preserve">test head for Eprom U 1835</t>
  </si>
  <si>
    <t xml:space="preserve">71908</t>
  </si>
  <si>
    <t xml:space="preserve">PTM1</t>
  </si>
  <si>
    <t xml:space="preserve">Flash Memory Tester</t>
  </si>
  <si>
    <t xml:space="preserve">71910</t>
  </si>
  <si>
    <t xml:space="preserve">MT32</t>
  </si>
  <si>
    <t xml:space="preserve">Flash Memory Test System</t>
  </si>
  <si>
    <t xml:space="preserve">78133</t>
  </si>
  <si>
    <t xml:space="preserve">QT200</t>
  </si>
  <si>
    <t xml:space="preserve">Test System </t>
  </si>
  <si>
    <t xml:space="preserve">78137</t>
  </si>
  <si>
    <t xml:space="preserve">Tester System with monitor </t>
  </si>
  <si>
    <t xml:space="preserve">78138</t>
  </si>
  <si>
    <t xml:space="preserve">R.S.V.</t>
  </si>
  <si>
    <t xml:space="preserve">ST Memory Test System Electronic Automation </t>
  </si>
  <si>
    <t xml:space="preserve">80177</t>
  </si>
  <si>
    <t xml:space="preserve">Automated Tester System with monitor </t>
  </si>
  <si>
    <t xml:space="preserve">80178</t>
  </si>
  <si>
    <t xml:space="preserve">80179</t>
  </si>
  <si>
    <t xml:space="preserve">80180</t>
  </si>
  <si>
    <t xml:space="preserve">80181</t>
  </si>
  <si>
    <t xml:space="preserve">80182</t>
  </si>
  <si>
    <t xml:space="preserve">80183</t>
  </si>
  <si>
    <t xml:space="preserve">80184</t>
  </si>
  <si>
    <t xml:space="preserve">86281</t>
  </si>
  <si>
    <t xml:space="preserve">QT200 (spares)</t>
  </si>
  <si>
    <t xml:space="preserve">boards from qt 200 test system - see attached list</t>
  </si>
  <si>
    <t xml:space="preserve">Spare Parts</t>
  </si>
  <si>
    <t xml:space="preserve">95233</t>
  </si>
  <si>
    <t xml:space="preserve">MT 32 SX</t>
  </si>
  <si>
    <t xml:space="preserve">Fully Automated Memory Test System for BIST and NAND Memories</t>
  </si>
  <si>
    <t xml:space="preserve">Via Nobel, 46A, Avezzano 67051 Italy</t>
  </si>
  <si>
    <t xml:space="preserve">99969</t>
  </si>
  <si>
    <t xml:space="preserve">79584</t>
  </si>
  <si>
    <t xml:space="preserve">STS</t>
  </si>
  <si>
    <t xml:space="preserve">320 PC</t>
  </si>
  <si>
    <t xml:space="preserve">Reactive Ion Etcher</t>
  </si>
  <si>
    <t xml:space="preserve">33413</t>
  </si>
  <si>
    <t xml:space="preserve">SYNAX</t>
  </si>
  <si>
    <t xml:space="preserve">SX3100</t>
  </si>
  <si>
    <t xml:space="preserve">Handler Ambient/Hot</t>
  </si>
  <si>
    <t xml:space="preserve">33414</t>
  </si>
  <si>
    <t xml:space="preserve">Handler</t>
  </si>
  <si>
    <t xml:space="preserve">79888</t>
  </si>
  <si>
    <t xml:space="preserve">System General</t>
  </si>
  <si>
    <t xml:space="preserve">T9600</t>
  </si>
  <si>
    <t xml:space="preserve">Universal Device  Programmer</t>
  </si>
  <si>
    <t xml:space="preserve">78136</t>
  </si>
  <si>
    <t xml:space="preserve">Sytrama</t>
  </si>
  <si>
    <t xml:space="preserve">MTM 32 V01</t>
  </si>
  <si>
    <t xml:space="preserve">ST Test Head Manipulator QT 124</t>
  </si>
  <si>
    <t xml:space="preserve">80089</t>
  </si>
  <si>
    <t xml:space="preserve">76613</t>
  </si>
  <si>
    <t xml:space="preserve">Tektronix</t>
  </si>
  <si>
    <t xml:space="preserve">TDS694C</t>
  </si>
  <si>
    <t xml:space="preserve">Digital 3 GHz real-time oscilloscope</t>
  </si>
  <si>
    <t xml:space="preserve">79590</t>
  </si>
  <si>
    <t xml:space="preserve">TDS 544A</t>
  </si>
  <si>
    <t xml:space="preserve">Color 4 channel digitizing oscilloscope</t>
  </si>
  <si>
    <t xml:space="preserve">79597</t>
  </si>
  <si>
    <t xml:space="preserve">PS 280</t>
  </si>
  <si>
    <t xml:space="preserve">DC Power supply</t>
  </si>
  <si>
    <t xml:space="preserve">79599</t>
  </si>
  <si>
    <t xml:space="preserve">11801C</t>
  </si>
  <si>
    <t xml:space="preserve">Digital Sampling Oscilloscope</t>
  </si>
  <si>
    <t xml:space="preserve">79601</t>
  </si>
  <si>
    <t xml:space="preserve">2432A</t>
  </si>
  <si>
    <t xml:space="preserve">Digital Oscilloscope, 2 channel, with GPIB</t>
  </si>
  <si>
    <t xml:space="preserve">2181</t>
  </si>
  <si>
    <t xml:space="preserve">TEL TOKYO ELECTRON</t>
  </si>
  <si>
    <t xml:space="preserve">TE 5480</t>
  </si>
  <si>
    <t xml:space="preserve">Nitride Plasma Reactive Ion Etch</t>
  </si>
  <si>
    <t xml:space="preserve">21064</t>
  </si>
  <si>
    <t xml:space="preserve">MB2 730 HT HT</t>
  </si>
  <si>
    <t xml:space="preserve">CVD SYSTEM, 2 CHAMBER WSi Process</t>
  </si>
  <si>
    <t xml:space="preserve">21270</t>
  </si>
  <si>
    <t xml:space="preserve">MB2 730HT</t>
  </si>
  <si>
    <t xml:space="preserve">CVD SYSTEM, 3 CHAMBER WSi Process</t>
  </si>
  <si>
    <t xml:space="preserve">78124</t>
  </si>
  <si>
    <t xml:space="preserve">P8</t>
  </si>
  <si>
    <t xml:space="preserve">Wafer Prober </t>
  </si>
  <si>
    <t xml:space="preserve">78131</t>
  </si>
  <si>
    <t xml:space="preserve">P8XL</t>
  </si>
  <si>
    <t xml:space="preserve">Fully Automatic Wafer Prober (Gold Chuck)</t>
  </si>
  <si>
    <t xml:space="preserve">54232</t>
  </si>
  <si>
    <t xml:space="preserve">Teradyne</t>
  </si>
  <si>
    <t xml:space="preserve">J994</t>
  </si>
  <si>
    <t xml:space="preserve">Memory Tester</t>
  </si>
  <si>
    <t xml:space="preserve">78361</t>
  </si>
  <si>
    <t xml:space="preserve">J971SP (Spares)</t>
  </si>
  <si>
    <t xml:space="preserve">Boards from VLSI test system</t>
  </si>
  <si>
    <t xml:space="preserve">87615</t>
  </si>
  <si>
    <t xml:space="preserve">United Detector Technology, Inc.</t>
  </si>
  <si>
    <t xml:space="preserve">40X</t>
  </si>
  <si>
    <t xml:space="preserve">Laser Power Meter</t>
  </si>
  <si>
    <t xml:space="preserve">12F, AVEZZANO</t>
  </si>
  <si>
    <t xml:space="preserve">84082</t>
  </si>
  <si>
    <t xml:space="preserve">Varian</t>
  </si>
  <si>
    <t xml:space="preserve">Turbo-V 250 MacroTorr</t>
  </si>
  <si>
    <t xml:space="preserve">Turbo Pump DN ISO 100 Type</t>
  </si>
  <si>
    <t xml:space="preserve">Avezzano, 67051, Italy</t>
  </si>
  <si>
    <t xml:space="preserve">92468</t>
  </si>
  <si>
    <t xml:space="preserve">E11040440 Rev 7</t>
  </si>
  <si>
    <t xml:space="preserve">Secondary workstation for implanter</t>
  </si>
  <si>
    <t xml:space="preserve">95409</t>
  </si>
  <si>
    <t xml:space="preserve">87651</t>
  </si>
  <si>
    <t xml:space="preserve">Verigy / Agilent</t>
  </si>
  <si>
    <t xml:space="preserve">V6000e</t>
  </si>
  <si>
    <t xml:space="preserve">15619</t>
  </si>
  <si>
    <t xml:space="preserve">VERTEQ</t>
  </si>
  <si>
    <t xml:space="preserve">FLUOROCARBON RD4500 CLASSIC</t>
  </si>
  <si>
    <t xml:space="preserve">SRD</t>
  </si>
  <si>
    <t xml:space="preserve">2</t>
  </si>
  <si>
    <t xml:space="preserve">100 mm</t>
  </si>
  <si>
    <t xml:space="preserve">A1  avezzano, Italy</t>
  </si>
  <si>
    <t xml:space="preserve">79594</t>
  </si>
  <si>
    <t xml:space="preserve">Vision Engineering</t>
  </si>
  <si>
    <t xml:space="preserve">Dynascope</t>
  </si>
  <si>
    <t xml:space="preserve">Inspection Microscope</t>
  </si>
  <si>
    <t xml:space="preserve">80238</t>
  </si>
  <si>
    <t xml:space="preserve">Weiss</t>
  </si>
  <si>
    <t xml:space="preserve">TS130</t>
  </si>
  <si>
    <t xml:space="preserve">Thermal shock testing chamber</t>
  </si>
  <si>
    <t xml:space="preserve">100625</t>
  </si>
  <si>
    <t xml:space="preserve">4x EVA Sheet Lines</t>
  </si>
  <si>
    <t xml:space="preserve">Complete</t>
  </si>
  <si>
    <t xml:space="preserve">Foam Production Line</t>
  </si>
  <si>
    <t xml:space="preserve">4</t>
  </si>
  <si>
    <t xml:space="preserve">Plastics Machinery</t>
  </si>
  <si>
    <t xml:space="preserve">99279</t>
  </si>
  <si>
    <t xml:space="preserve">6 inch and 8 inch</t>
  </si>
  <si>
    <t xml:space="preserve">Partial</t>
  </si>
  <si>
    <t xml:space="preserve">Wafer Fab Line</t>
  </si>
  <si>
    <t xml:space="preserve">104</t>
  </si>
  <si>
    <t xml:space="preserve">150 mm / 200 MM</t>
  </si>
  <si>
    <t xml:space="preserve">98785</t>
  </si>
  <si>
    <t xml:space="preserve">60 MWp</t>
  </si>
  <si>
    <t xml:space="preserve">Baccini Solar Cell Print Line</t>
  </si>
  <si>
    <t xml:space="preserve">100028</t>
  </si>
  <si>
    <t xml:space="preserve">500 MWp</t>
  </si>
  <si>
    <t xml:space="preserve">Solar Module Manufacturing Line</t>
  </si>
  <si>
    <t xml:space="preserve">98974</t>
  </si>
  <si>
    <t xml:space="preserve">ACCRETECH</t>
  </si>
  <si>
    <t xml:space="preserve">SA2400</t>
  </si>
  <si>
    <t xml:space="preserve">Wafer Prober</t>
  </si>
  <si>
    <t xml:space="preserve">98975</t>
  </si>
  <si>
    <t xml:space="preserve">SA2500</t>
  </si>
  <si>
    <t xml:space="preserve">98977</t>
  </si>
  <si>
    <t xml:space="preserve">UF200</t>
  </si>
  <si>
    <t xml:space="preserve">98976</t>
  </si>
  <si>
    <t xml:space="preserve">98981</t>
  </si>
  <si>
    <t xml:space="preserve">UF200A</t>
  </si>
  <si>
    <t xml:space="preserve">98980</t>
  </si>
  <si>
    <t xml:space="preserve">98979</t>
  </si>
  <si>
    <t xml:space="preserve">98978</t>
  </si>
  <si>
    <t xml:space="preserve">98983</t>
  </si>
  <si>
    <t xml:space="preserve">UF200S</t>
  </si>
  <si>
    <t xml:space="preserve">98982</t>
  </si>
  <si>
    <t xml:space="preserve">98989</t>
  </si>
  <si>
    <t xml:space="preserve">UF200SA</t>
  </si>
  <si>
    <t xml:space="preserve">98988</t>
  </si>
  <si>
    <t xml:space="preserve">98987</t>
  </si>
  <si>
    <t xml:space="preserve">98986</t>
  </si>
  <si>
    <t xml:space="preserve">98985</t>
  </si>
  <si>
    <t xml:space="preserve">98984</t>
  </si>
  <si>
    <t xml:space="preserve">98229</t>
  </si>
  <si>
    <t xml:space="preserve">Accretech / TSK</t>
  </si>
  <si>
    <t xml:space="preserve">Manipulator</t>
  </si>
  <si>
    <t xml:space="preserve">11</t>
  </si>
  <si>
    <t xml:space="preserve">98228</t>
  </si>
  <si>
    <t xml:space="preserve">MHF6000</t>
  </si>
  <si>
    <t xml:space="preserve">98230</t>
  </si>
  <si>
    <t xml:space="preserve">MHF 400</t>
  </si>
  <si>
    <t xml:space="preserve">4000 Series Manipulator</t>
  </si>
  <si>
    <t xml:space="preserve">9</t>
  </si>
  <si>
    <t xml:space="preserve">98249</t>
  </si>
  <si>
    <t xml:space="preserve">UF200 </t>
  </si>
  <si>
    <t xml:space="preserve">Prober</t>
  </si>
  <si>
    <t xml:space="preserve">98246</t>
  </si>
  <si>
    <t xml:space="preserve">98248</t>
  </si>
  <si>
    <t xml:space="preserve">UF200DR</t>
  </si>
  <si>
    <t xml:space="preserve">98245</t>
  </si>
  <si>
    <t xml:space="preserve">UF200R</t>
  </si>
  <si>
    <t xml:space="preserve">98247</t>
  </si>
  <si>
    <t xml:space="preserve">100062</t>
  </si>
  <si>
    <t xml:space="preserve">Accretech/TSK</t>
  </si>
  <si>
    <t xml:space="preserve">UF3000</t>
  </si>
  <si>
    <t xml:space="preserve">300mm</t>
  </si>
  <si>
    <t xml:space="preserve">100061</t>
  </si>
  <si>
    <t xml:space="preserve">100060</t>
  </si>
  <si>
    <t xml:space="preserve">100059</t>
  </si>
  <si>
    <t xml:space="preserve">100058</t>
  </si>
  <si>
    <t xml:space="preserve">99907</t>
  </si>
  <si>
    <t xml:space="preserve">UF3000EX</t>
  </si>
  <si>
    <t xml:space="preserve">Automatic Wafer Prober</t>
  </si>
  <si>
    <t xml:space="preserve">98962</t>
  </si>
  <si>
    <t xml:space="preserve">ADE</t>
  </si>
  <si>
    <t xml:space="preserve">Wafer flatness measurement</t>
  </si>
  <si>
    <t xml:space="preserve">200mm</t>
  </si>
  <si>
    <t xml:space="preserve">97846</t>
  </si>
  <si>
    <t xml:space="preserve">NANOMAPPER</t>
  </si>
  <si>
    <t xml:space="preserve">SQM</t>
  </si>
  <si>
    <t xml:space="preserve">100344</t>
  </si>
  <si>
    <t xml:space="preserve">Advance Hivolt</t>
  </si>
  <si>
    <t xml:space="preserve">OL800010405</t>
  </si>
  <si>
    <t xml:space="preserve">High Voltage Power Supply</t>
  </si>
  <si>
    <t xml:space="preserve">100343</t>
  </si>
  <si>
    <t xml:space="preserve">OL80001104103 CONV A1010070</t>
  </si>
  <si>
    <t xml:space="preserve">High Voltage Power Supply and High Voltage Stack</t>
  </si>
  <si>
    <t xml:space="preserve">99061</t>
  </si>
  <si>
    <t xml:space="preserve">Advanced Energy</t>
  </si>
  <si>
    <t xml:space="preserve">MDX-10K</t>
  </si>
  <si>
    <t xml:space="preserve">RF GENERATOR 3-PHASE 415V (3152225-035A)</t>
  </si>
  <si>
    <t xml:space="preserve">wafer size 150 mm</t>
  </si>
  <si>
    <t xml:space="preserve">97078</t>
  </si>
  <si>
    <t xml:space="preserve">RFG 2000-2V/RFG 2K 2V</t>
  </si>
  <si>
    <t xml:space="preserve">M/N:3155053-003,3155053-007</t>
  </si>
  <si>
    <t xml:space="preserve">100</t>
  </si>
  <si>
    <t xml:space="preserve">100716</t>
  </si>
  <si>
    <t xml:space="preserve">M6243</t>
  </si>
  <si>
    <t xml:space="preserve">HANDLER</t>
  </si>
  <si>
    <t xml:space="preserve">98794</t>
  </si>
  <si>
    <t xml:space="preserve">M6541AD</t>
  </si>
  <si>
    <t xml:space="preserve">97182</t>
  </si>
  <si>
    <t xml:space="preserve">M6741AD</t>
  </si>
  <si>
    <t xml:space="preserve">Memory handler</t>
  </si>
  <si>
    <t xml:space="preserve">100651</t>
  </si>
  <si>
    <t xml:space="preserve">M6751AD</t>
  </si>
  <si>
    <t xml:space="preserve">100652</t>
  </si>
  <si>
    <t xml:space="preserve">M7211A</t>
  </si>
  <si>
    <t xml:space="preserve">100653</t>
  </si>
  <si>
    <t xml:space="preserve">T2000</t>
  </si>
  <si>
    <t xml:space="preserve">Logic Tester</t>
  </si>
  <si>
    <t xml:space="preserve">100654</t>
  </si>
  <si>
    <t xml:space="preserve">T2000 IPS</t>
  </si>
  <si>
    <t xml:space="preserve">100655</t>
  </si>
  <si>
    <t xml:space="preserve">T3346</t>
  </si>
  <si>
    <t xml:space="preserve">LSI Tester</t>
  </si>
  <si>
    <t xml:space="preserve">100656</t>
  </si>
  <si>
    <t xml:space="preserve">T3347A</t>
  </si>
  <si>
    <t xml:space="preserve">100657</t>
  </si>
  <si>
    <t xml:space="preserve">T5335</t>
  </si>
  <si>
    <t xml:space="preserve">100658</t>
  </si>
  <si>
    <t xml:space="preserve">5</t>
  </si>
  <si>
    <t xml:space="preserve">100659</t>
  </si>
  <si>
    <t xml:space="preserve">T5365P</t>
  </si>
  <si>
    <t xml:space="preserve">7</t>
  </si>
  <si>
    <t xml:space="preserve">98990</t>
  </si>
  <si>
    <t xml:space="preserve">T5375</t>
  </si>
  <si>
    <t xml:space="preserve">100660</t>
  </si>
  <si>
    <t xml:space="preserve">T5382A</t>
  </si>
  <si>
    <t xml:space="preserve">99844</t>
  </si>
  <si>
    <t xml:space="preserve">T5503A</t>
  </si>
  <si>
    <t xml:space="preserve">Tester</t>
  </si>
  <si>
    <t xml:space="preserve">99843</t>
  </si>
  <si>
    <t xml:space="preserve">T5588</t>
  </si>
  <si>
    <t xml:space="preserve">Single Head Tester</t>
  </si>
  <si>
    <t xml:space="preserve">100661</t>
  </si>
  <si>
    <t xml:space="preserve">T5591</t>
  </si>
  <si>
    <t xml:space="preserve">100662</t>
  </si>
  <si>
    <t xml:space="preserve">T5592</t>
  </si>
  <si>
    <t xml:space="preserve">98554</t>
  </si>
  <si>
    <t xml:space="preserve">T5593</t>
  </si>
  <si>
    <t xml:space="preserve">TESTER</t>
  </si>
  <si>
    <t xml:space="preserve">99380</t>
  </si>
  <si>
    <t xml:space="preserve">T5771ES</t>
  </si>
  <si>
    <t xml:space="preserve">Automated Test Equipment</t>
  </si>
  <si>
    <t xml:space="preserve">100663</t>
  </si>
  <si>
    <t xml:space="preserve">T6371</t>
  </si>
  <si>
    <t xml:space="preserve">100664</t>
  </si>
  <si>
    <t xml:space="preserve">T6372</t>
  </si>
  <si>
    <t xml:space="preserve">100665</t>
  </si>
  <si>
    <t xml:space="preserve">T6671E</t>
  </si>
  <si>
    <t xml:space="preserve">100666</t>
  </si>
  <si>
    <t xml:space="preserve">T6673</t>
  </si>
  <si>
    <t xml:space="preserve">100667</t>
  </si>
  <si>
    <t xml:space="preserve">T6683</t>
  </si>
  <si>
    <t xml:space="preserve">100668</t>
  </si>
  <si>
    <t xml:space="preserve">V3300</t>
  </si>
  <si>
    <t xml:space="preserve">98221</t>
  </si>
  <si>
    <t xml:space="preserve">ADVANTEST </t>
  </si>
  <si>
    <t xml:space="preserve">T5585 </t>
  </si>
  <si>
    <t xml:space="preserve">0</t>
  </si>
  <si>
    <t xml:space="preserve">98547</t>
  </si>
  <si>
    <r>
      <rPr>
        <sz val="8"/>
        <rFont val="Arial"/>
        <family val="0"/>
      </rPr>
      <t xml:space="preserve">Advantest / </t>
    </r>
    <r>
      <rPr>
        <sz val="8"/>
        <rFont val="Noto Sans CJK SC"/>
        <family val="2"/>
      </rPr>
      <t xml:space="preserve">アドバンテスト</t>
    </r>
  </si>
  <si>
    <t xml:space="preserve">Pick &amp; Place Memory Handler</t>
  </si>
  <si>
    <t xml:space="preserve">100052</t>
  </si>
  <si>
    <t xml:space="preserve">AE</t>
  </si>
  <si>
    <t xml:space="preserve">PDW2200</t>
  </si>
  <si>
    <t xml:space="preserve">RF Generator</t>
  </si>
  <si>
    <t xml:space="preserve">853-015516-004</t>
  </si>
  <si>
    <t xml:space="preserve">98971</t>
  </si>
  <si>
    <t xml:space="preserve">PE-2500</t>
  </si>
  <si>
    <t xml:space="preserve">3157504-012</t>
  </si>
  <si>
    <t xml:space="preserve">100722</t>
  </si>
  <si>
    <t xml:space="preserve">AG Associates</t>
  </si>
  <si>
    <t xml:space="preserve">Heatpulse 4100S</t>
  </si>
  <si>
    <t xml:space="preserve">Rapid Thermal Processor</t>
  </si>
  <si>
    <t xml:space="preserve">98062</t>
  </si>
  <si>
    <t xml:space="preserve">4073B</t>
  </si>
  <si>
    <t xml:space="preserve">Parametric Tester</t>
  </si>
  <si>
    <t xml:space="preserve">98220</t>
  </si>
  <si>
    <t xml:space="preserve">93000</t>
  </si>
  <si>
    <t xml:space="preserve">Tester (Parts Machine)</t>
  </si>
  <si>
    <t xml:space="preserve">97847</t>
  </si>
  <si>
    <t xml:space="preserve">E3630A</t>
  </si>
  <si>
    <t xml:space="preserve">DC Power Supply</t>
  </si>
  <si>
    <t xml:space="preserve">100669</t>
  </si>
  <si>
    <t xml:space="preserve">HP4062C</t>
  </si>
  <si>
    <t xml:space="preserve">98219</t>
  </si>
  <si>
    <t xml:space="preserve">HP 83000</t>
  </si>
  <si>
    <t xml:space="preserve">98704</t>
  </si>
  <si>
    <t xml:space="preserve">Agilent / HP / Verigy</t>
  </si>
  <si>
    <t xml:space="preserve">4071A</t>
  </si>
  <si>
    <t xml:space="preserve">98546</t>
  </si>
  <si>
    <t xml:space="preserve">99082</t>
  </si>
  <si>
    <t xml:space="preserve">Agilent / Verigy</t>
  </si>
  <si>
    <t xml:space="preserve">41000</t>
  </si>
  <si>
    <t xml:space="preserve">100030</t>
  </si>
  <si>
    <t xml:space="preserve">Agilent/Verigy</t>
  </si>
  <si>
    <t xml:space="preserve">HP83000</t>
  </si>
  <si>
    <t xml:space="preserve">100056</t>
  </si>
  <si>
    <t xml:space="preserve">Aixtron</t>
  </si>
  <si>
    <t xml:space="preserve">AIX 2800G4 </t>
  </si>
  <si>
    <t xml:space="preserve">SiC MOCVD</t>
  </si>
  <si>
    <t xml:space="preserve">98513</t>
  </si>
  <si>
    <t xml:space="preserve">Akrion</t>
  </si>
  <si>
    <t xml:space="preserve">Akrion Gama</t>
  </si>
  <si>
    <t xml:space="preserve">Wet Station, ST28, PSR, QDR, SD Dryer</t>
  </si>
  <si>
    <t xml:space="preserve">97051</t>
  </si>
  <si>
    <t xml:space="preserve">AKT / Applied Materials</t>
  </si>
  <si>
    <t xml:space="preserve">AKT 60KO Solar</t>
  </si>
  <si>
    <t xml:space="preserve">PECVD system for a-Si deposition, with intrinsic a-Si, or n-type, p-type doping.</t>
  </si>
  <si>
    <t xml:space="preserve">2.6 m x 2.2 m</t>
  </si>
  <si>
    <t xml:space="preserve">100065</t>
  </si>
  <si>
    <t xml:space="preserve">Alcatel</t>
  </si>
  <si>
    <t xml:space="preserve">A803H</t>
  </si>
  <si>
    <t xml:space="preserve">Dry Pump</t>
  </si>
  <si>
    <t xml:space="preserve">PUMP</t>
  </si>
  <si>
    <t xml:space="preserve">100064</t>
  </si>
  <si>
    <t xml:space="preserve">A1503H</t>
  </si>
  <si>
    <t xml:space="preserve">100063</t>
  </si>
  <si>
    <t xml:space="preserve">96799</t>
  </si>
  <si>
    <t xml:space="preserve">100068</t>
  </si>
  <si>
    <t xml:space="preserve">AD63KH</t>
  </si>
  <si>
    <t xml:space="preserve">100067</t>
  </si>
  <si>
    <t xml:space="preserve">100066</t>
  </si>
  <si>
    <t xml:space="preserve">99085</t>
  </si>
  <si>
    <t xml:space="preserve">ADP 30</t>
  </si>
  <si>
    <t xml:space="preserve">100072</t>
  </si>
  <si>
    <t xml:space="preserve">ADP 81</t>
  </si>
  <si>
    <t xml:space="preserve">100071</t>
  </si>
  <si>
    <t xml:space="preserve">ADP 122P</t>
  </si>
  <si>
    <t xml:space="preserve">100070</t>
  </si>
  <si>
    <t xml:space="preserve">100069</t>
  </si>
  <si>
    <t xml:space="preserve">98706</t>
  </si>
  <si>
    <t xml:space="preserve">ADS 602H</t>
  </si>
  <si>
    <t xml:space="preserve">97515</t>
  </si>
  <si>
    <t xml:space="preserve">ADS 602P</t>
  </si>
  <si>
    <t xml:space="preserve">100073</t>
  </si>
  <si>
    <t xml:space="preserve">ADS 1802H</t>
  </si>
  <si>
    <t xml:space="preserve">97848</t>
  </si>
  <si>
    <t xml:space="preserve">Allied High Tech Products</t>
  </si>
  <si>
    <t xml:space="preserve">DualPrep1</t>
  </si>
  <si>
    <t xml:space="preserve">Polishing system</t>
  </si>
  <si>
    <t xml:space="preserve">100699</t>
  </si>
  <si>
    <t xml:space="preserve">Alphasem</t>
  </si>
  <si>
    <t xml:space="preserve">DB 608-PRL</t>
  </si>
  <si>
    <t xml:space="preserve">Bonder</t>
  </si>
  <si>
    <t xml:space="preserve">100700</t>
  </si>
  <si>
    <t xml:space="preserve">E8001</t>
  </si>
  <si>
    <t xml:space="preserve">Die Sort System</t>
  </si>
  <si>
    <t xml:space="preserve">100074</t>
  </si>
  <si>
    <t xml:space="preserve">AMEC</t>
  </si>
  <si>
    <t xml:space="preserve">Primo SSC AD-RIE</t>
  </si>
  <si>
    <t xml:space="preserve">Dielectric Etch</t>
  </si>
  <si>
    <t xml:space="preserve">100670</t>
  </si>
  <si>
    <t xml:space="preserve">ANDO</t>
  </si>
  <si>
    <t xml:space="preserve">AHM-861</t>
  </si>
  <si>
    <t xml:space="preserve">97903</t>
  </si>
  <si>
    <t xml:space="preserve">14</t>
  </si>
  <si>
    <t xml:space="preserve">TEST HANDLER</t>
  </si>
  <si>
    <t xml:space="preserve">100075</t>
  </si>
  <si>
    <t xml:space="preserve">Anelva</t>
  </si>
  <si>
    <t xml:space="preserve">I-4500</t>
  </si>
  <si>
    <t xml:space="preserve">Multi-Process Etch</t>
  </si>
  <si>
    <t xml:space="preserve">100365</t>
  </si>
  <si>
    <t xml:space="preserve">0010-00950</t>
  </si>
  <si>
    <t xml:space="preserve">200mm MCA E-Chuck Assy</t>
  </si>
  <si>
    <t xml:space="preserve">100366</t>
  </si>
  <si>
    <t xml:space="preserve">0010-00951</t>
  </si>
  <si>
    <t xml:space="preserve">100367</t>
  </si>
  <si>
    <t xml:space="preserve">0010-01166</t>
  </si>
  <si>
    <t xml:space="preserve">100368</t>
  </si>
  <si>
    <t xml:space="preserve">0010-01167</t>
  </si>
  <si>
    <t xml:space="preserve">100369</t>
  </si>
  <si>
    <t xml:space="preserve">0010-01196</t>
  </si>
  <si>
    <t xml:space="preserve">100370</t>
  </si>
  <si>
    <t xml:space="preserve">0010-01197</t>
  </si>
  <si>
    <t xml:space="preserve">100516</t>
  </si>
  <si>
    <t xml:space="preserve">0010-01198</t>
  </si>
  <si>
    <t xml:space="preserve">AMAT Magnet Assy</t>
  </si>
  <si>
    <t xml:space="preserve">100517</t>
  </si>
  <si>
    <t xml:space="preserve">0010-01231</t>
  </si>
  <si>
    <t xml:space="preserve">100371</t>
  </si>
  <si>
    <t xml:space="preserve">0010-01288</t>
  </si>
  <si>
    <t xml:space="preserve">100372</t>
  </si>
  <si>
    <t xml:space="preserve">0010-01503</t>
  </si>
  <si>
    <t xml:space="preserve">100373</t>
  </si>
  <si>
    <t xml:space="preserve">0010-01926</t>
  </si>
  <si>
    <t xml:space="preserve">100374</t>
  </si>
  <si>
    <t xml:space="preserve">0010-01928</t>
  </si>
  <si>
    <t xml:space="preserve">100518</t>
  </si>
  <si>
    <t xml:space="preserve">0010-01994</t>
  </si>
  <si>
    <t xml:space="preserve">6</t>
  </si>
  <si>
    <t xml:space="preserve">100375</t>
  </si>
  <si>
    <t xml:space="preserve">0010-03028</t>
  </si>
  <si>
    <t xml:space="preserve">100376</t>
  </si>
  <si>
    <t xml:space="preserve">0010-03029</t>
  </si>
  <si>
    <t xml:space="preserve">100377</t>
  </si>
  <si>
    <t xml:space="preserve">0010-03030</t>
  </si>
  <si>
    <t xml:space="preserve">100378</t>
  </si>
  <si>
    <t xml:space="preserve">0010-03031</t>
  </si>
  <si>
    <t xml:space="preserve">100379</t>
  </si>
  <si>
    <t xml:space="preserve">0010-03361</t>
  </si>
  <si>
    <t xml:space="preserve">100380</t>
  </si>
  <si>
    <t xml:space="preserve">0010-03362</t>
  </si>
  <si>
    <t xml:space="preserve">100519</t>
  </si>
  <si>
    <t xml:space="preserve">0010-03485</t>
  </si>
  <si>
    <t xml:space="preserve">100520</t>
  </si>
  <si>
    <t xml:space="preserve">0010-03486</t>
  </si>
  <si>
    <t xml:space="preserve">100521</t>
  </si>
  <si>
    <t xml:space="preserve">0010-03487</t>
  </si>
  <si>
    <t xml:space="preserve">100522</t>
  </si>
  <si>
    <t xml:space="preserve">0010-03488</t>
  </si>
  <si>
    <t xml:space="preserve">100405</t>
  </si>
  <si>
    <t xml:space="preserve">0010-03773</t>
  </si>
  <si>
    <t xml:space="preserve">300mm MCA E-Chuck Assy</t>
  </si>
  <si>
    <t xml:space="preserve">100406</t>
  </si>
  <si>
    <t xml:space="preserve">0010-03774</t>
  </si>
  <si>
    <t xml:space="preserve">100523</t>
  </si>
  <si>
    <t xml:space="preserve">0010-04065</t>
  </si>
  <si>
    <t xml:space="preserve">100381</t>
  </si>
  <si>
    <t xml:space="preserve">0010-04448</t>
  </si>
  <si>
    <t xml:space="preserve">100382</t>
  </si>
  <si>
    <t xml:space="preserve">0010-04450</t>
  </si>
  <si>
    <t xml:space="preserve">100383</t>
  </si>
  <si>
    <t xml:space="preserve">0010-04451</t>
  </si>
  <si>
    <t xml:space="preserve">100384</t>
  </si>
  <si>
    <t xml:space="preserve">0010-04452</t>
  </si>
  <si>
    <t xml:space="preserve">100524</t>
  </si>
  <si>
    <t xml:space="preserve">0010-04753</t>
  </si>
  <si>
    <t xml:space="preserve">100525</t>
  </si>
  <si>
    <t xml:space="preserve">0010-04941</t>
  </si>
  <si>
    <t xml:space="preserve">100455</t>
  </si>
  <si>
    <t xml:space="preserve">0010-04978</t>
  </si>
  <si>
    <t xml:space="preserve">300mm Producer Ceramic Heater</t>
  </si>
  <si>
    <t xml:space="preserve">100526</t>
  </si>
  <si>
    <t xml:space="preserve">0010-05940</t>
  </si>
  <si>
    <t xml:space="preserve">100527</t>
  </si>
  <si>
    <t xml:space="preserve">0010-06748</t>
  </si>
  <si>
    <t xml:space="preserve">100407</t>
  </si>
  <si>
    <t xml:space="preserve">0010-06874</t>
  </si>
  <si>
    <t xml:space="preserve">20</t>
  </si>
  <si>
    <t xml:space="preserve">100528</t>
  </si>
  <si>
    <t xml:space="preserve">0010-07563</t>
  </si>
  <si>
    <t xml:space="preserve">100408</t>
  </si>
  <si>
    <t xml:space="preserve">0010-07815</t>
  </si>
  <si>
    <t xml:space="preserve">25</t>
  </si>
  <si>
    <t xml:space="preserve">100385</t>
  </si>
  <si>
    <t xml:space="preserve">0010-08017</t>
  </si>
  <si>
    <t xml:space="preserve">100456</t>
  </si>
  <si>
    <t xml:space="preserve">0010-08265</t>
  </si>
  <si>
    <t xml:space="preserve">100457</t>
  </si>
  <si>
    <t xml:space="preserve">0010-08605</t>
  </si>
  <si>
    <t xml:space="preserve">100386</t>
  </si>
  <si>
    <t xml:space="preserve">0010-08750</t>
  </si>
  <si>
    <t xml:space="preserve">100529</t>
  </si>
  <si>
    <t xml:space="preserve">0010-09394</t>
  </si>
  <si>
    <t xml:space="preserve">100530</t>
  </si>
  <si>
    <t xml:space="preserve">0010-11228</t>
  </si>
  <si>
    <t xml:space="preserve">100409</t>
  </si>
  <si>
    <t xml:space="preserve">0010-11343</t>
  </si>
  <si>
    <t xml:space="preserve">100458</t>
  </si>
  <si>
    <t xml:space="preserve">0010-11681</t>
  </si>
  <si>
    <t xml:space="preserve">100459</t>
  </si>
  <si>
    <t xml:space="preserve">0010-11908</t>
  </si>
  <si>
    <t xml:space="preserve">100531</t>
  </si>
  <si>
    <t xml:space="preserve">0010-12447</t>
  </si>
  <si>
    <t xml:space="preserve">100387</t>
  </si>
  <si>
    <t xml:space="preserve">0010-12516</t>
  </si>
  <si>
    <t xml:space="preserve">100532</t>
  </si>
  <si>
    <t xml:space="preserve">0010-12530</t>
  </si>
  <si>
    <t xml:space="preserve">100533</t>
  </si>
  <si>
    <t xml:space="preserve">0010-12582</t>
  </si>
  <si>
    <t xml:space="preserve">100534</t>
  </si>
  <si>
    <t xml:space="preserve">0010-12864</t>
  </si>
  <si>
    <t xml:space="preserve">100388</t>
  </si>
  <si>
    <t xml:space="preserve">0010-13313</t>
  </si>
  <si>
    <t xml:space="preserve">100389</t>
  </si>
  <si>
    <t xml:space="preserve">0010-13897</t>
  </si>
  <si>
    <t xml:space="preserve">100410</t>
  </si>
  <si>
    <t xml:space="preserve">0010-14204</t>
  </si>
  <si>
    <t xml:space="preserve">27</t>
  </si>
  <si>
    <t xml:space="preserve">100446</t>
  </si>
  <si>
    <t xml:space="preserve">0010-14700</t>
  </si>
  <si>
    <t xml:space="preserve">300mm  V7 Vaccum Purge Ceramic Heater</t>
  </si>
  <si>
    <t xml:space="preserve">100535</t>
  </si>
  <si>
    <t xml:space="preserve">0010-14875</t>
  </si>
  <si>
    <t xml:space="preserve">100536</t>
  </si>
  <si>
    <t xml:space="preserve">0010-14916</t>
  </si>
  <si>
    <t xml:space="preserve">100411</t>
  </si>
  <si>
    <t xml:space="preserve">0010-15431</t>
  </si>
  <si>
    <t xml:space="preserve">100390</t>
  </si>
  <si>
    <t xml:space="preserve">0010-15961</t>
  </si>
  <si>
    <t xml:space="preserve">100412</t>
  </si>
  <si>
    <t xml:space="preserve">0010-16109</t>
  </si>
  <si>
    <t xml:space="preserve">19</t>
  </si>
  <si>
    <t xml:space="preserve">100413</t>
  </si>
  <si>
    <t xml:space="preserve">0010-16858</t>
  </si>
  <si>
    <t xml:space="preserve">23</t>
  </si>
  <si>
    <t xml:space="preserve">100414</t>
  </si>
  <si>
    <t xml:space="preserve">0010-16986</t>
  </si>
  <si>
    <t xml:space="preserve">17</t>
  </si>
  <si>
    <t xml:space="preserve">100415</t>
  </si>
  <si>
    <t xml:space="preserve">0010-17111</t>
  </si>
  <si>
    <t xml:space="preserve">100391</t>
  </si>
  <si>
    <t xml:space="preserve">0010-17812</t>
  </si>
  <si>
    <t xml:space="preserve">100392</t>
  </si>
  <si>
    <t xml:space="preserve">0010-17831</t>
  </si>
  <si>
    <t xml:space="preserve">100416</t>
  </si>
  <si>
    <t xml:space="preserve">0010-19971</t>
  </si>
  <si>
    <t xml:space="preserve">22</t>
  </si>
  <si>
    <t xml:space="preserve">100537</t>
  </si>
  <si>
    <t xml:space="preserve">0010-20221</t>
  </si>
  <si>
    <t xml:space="preserve">100538</t>
  </si>
  <si>
    <t xml:space="preserve">0010-20222</t>
  </si>
  <si>
    <t xml:space="preserve">100539</t>
  </si>
  <si>
    <t xml:space="preserve">0010-20223</t>
  </si>
  <si>
    <t xml:space="preserve">100540</t>
  </si>
  <si>
    <t xml:space="preserve">0010-20224</t>
  </si>
  <si>
    <t xml:space="preserve">100541</t>
  </si>
  <si>
    <t xml:space="preserve">0010-20225</t>
  </si>
  <si>
    <t xml:space="preserve">100542</t>
  </si>
  <si>
    <t xml:space="preserve">0010-20258</t>
  </si>
  <si>
    <t xml:space="preserve">100543</t>
  </si>
  <si>
    <t xml:space="preserve">0010-20328</t>
  </si>
  <si>
    <t xml:space="preserve">100544</t>
  </si>
  <si>
    <t xml:space="preserve">0010-20389</t>
  </si>
  <si>
    <t xml:space="preserve">100545</t>
  </si>
  <si>
    <t xml:space="preserve">0010-20768</t>
  </si>
  <si>
    <t xml:space="preserve">100546</t>
  </si>
  <si>
    <t xml:space="preserve">0010-20806</t>
  </si>
  <si>
    <t xml:space="preserve">100547</t>
  </si>
  <si>
    <t xml:space="preserve">0010-20818</t>
  </si>
  <si>
    <t xml:space="preserve">100548</t>
  </si>
  <si>
    <t xml:space="preserve">0010-20819</t>
  </si>
  <si>
    <t xml:space="preserve">100549</t>
  </si>
  <si>
    <t xml:space="preserve">0010-20860</t>
  </si>
  <si>
    <t xml:space="preserve">100550</t>
  </si>
  <si>
    <t xml:space="preserve">0010-21020</t>
  </si>
  <si>
    <t xml:space="preserve">100551</t>
  </si>
  <si>
    <t xml:space="preserve">0010-21097</t>
  </si>
  <si>
    <t xml:space="preserve">100552</t>
  </si>
  <si>
    <t xml:space="preserve">0010-21127</t>
  </si>
  <si>
    <t xml:space="preserve">100621</t>
  </si>
  <si>
    <t xml:space="preserve">0010-21206</t>
  </si>
  <si>
    <t xml:space="preserve">AMAT Magnet Assy(300mm)</t>
  </si>
  <si>
    <t xml:space="preserve">100553</t>
  </si>
  <si>
    <t xml:space="preserve">0010-21403</t>
  </si>
  <si>
    <t xml:space="preserve">100554</t>
  </si>
  <si>
    <t xml:space="preserve">0010-21465</t>
  </si>
  <si>
    <t xml:space="preserve">100555</t>
  </si>
  <si>
    <t xml:space="preserve">0010-21668</t>
  </si>
  <si>
    <t xml:space="preserve">100556</t>
  </si>
  <si>
    <t xml:space="preserve">0010-21676</t>
  </si>
  <si>
    <t xml:space="preserve">100557</t>
  </si>
  <si>
    <t xml:space="preserve">0010-21788</t>
  </si>
  <si>
    <t xml:space="preserve">100558</t>
  </si>
  <si>
    <t xml:space="preserve">0010-21810</t>
  </si>
  <si>
    <t xml:space="preserve">100559</t>
  </si>
  <si>
    <t xml:space="preserve">0010-21819</t>
  </si>
  <si>
    <t xml:space="preserve">100393</t>
  </si>
  <si>
    <t xml:space="preserve">0010-21835</t>
  </si>
  <si>
    <t xml:space="preserve">100394</t>
  </si>
  <si>
    <t xml:space="preserve">0010-21836</t>
  </si>
  <si>
    <t xml:space="preserve">100560</t>
  </si>
  <si>
    <t xml:space="preserve">0010-21844</t>
  </si>
  <si>
    <t xml:space="preserve">100561</t>
  </si>
  <si>
    <t xml:space="preserve">0010-21940</t>
  </si>
  <si>
    <t xml:space="preserve">100395</t>
  </si>
  <si>
    <t xml:space="preserve">0010-21946</t>
  </si>
  <si>
    <t xml:space="preserve">100562</t>
  </si>
  <si>
    <t xml:space="preserve">0010-22043</t>
  </si>
  <si>
    <t xml:space="preserve">100417</t>
  </si>
  <si>
    <t xml:space="preserve">0010-22134</t>
  </si>
  <si>
    <t xml:space="preserve">100418</t>
  </si>
  <si>
    <t xml:space="preserve">0010-22166</t>
  </si>
  <si>
    <t xml:space="preserve">100396</t>
  </si>
  <si>
    <t xml:space="preserve">0010-22167</t>
  </si>
  <si>
    <t xml:space="preserve">100397</t>
  </si>
  <si>
    <t xml:space="preserve">0010-22180</t>
  </si>
  <si>
    <t xml:space="preserve">100419</t>
  </si>
  <si>
    <t xml:space="preserve">0010-22183</t>
  </si>
  <si>
    <t xml:space="preserve">100420</t>
  </si>
  <si>
    <t xml:space="preserve">0010-22184</t>
  </si>
  <si>
    <t xml:space="preserve">100398</t>
  </si>
  <si>
    <t xml:space="preserve">0010-22408</t>
  </si>
  <si>
    <t xml:space="preserve">100399</t>
  </si>
  <si>
    <t xml:space="preserve">0010-22409</t>
  </si>
  <si>
    <t xml:space="preserve">100400</t>
  </si>
  <si>
    <t xml:space="preserve">0010-22411</t>
  </si>
  <si>
    <t xml:space="preserve">100401</t>
  </si>
  <si>
    <t xml:space="preserve">0010-22412</t>
  </si>
  <si>
    <t xml:space="preserve">100421</t>
  </si>
  <si>
    <t xml:space="preserve">0010-22985</t>
  </si>
  <si>
    <t xml:space="preserve">16</t>
  </si>
  <si>
    <t xml:space="preserve">100422</t>
  </si>
  <si>
    <t xml:space="preserve">0010-22988</t>
  </si>
  <si>
    <t xml:space="preserve">100460</t>
  </si>
  <si>
    <t xml:space="preserve">0010-23014</t>
  </si>
  <si>
    <t xml:space="preserve">100423</t>
  </si>
  <si>
    <t xml:space="preserve">0010-23066</t>
  </si>
  <si>
    <t xml:space="preserve">100424</t>
  </si>
  <si>
    <t xml:space="preserve">0010-23068</t>
  </si>
  <si>
    <t xml:space="preserve">100563</t>
  </si>
  <si>
    <t xml:space="preserve">0010-23460</t>
  </si>
  <si>
    <t xml:space="preserve">100425</t>
  </si>
  <si>
    <t xml:space="preserve">0010-23677</t>
  </si>
  <si>
    <t xml:space="preserve">24</t>
  </si>
  <si>
    <t xml:space="preserve">100461</t>
  </si>
  <si>
    <t xml:space="preserve">0010-23794</t>
  </si>
  <si>
    <t xml:space="preserve">100426</t>
  </si>
  <si>
    <t xml:space="preserve">0010-23803</t>
  </si>
  <si>
    <t xml:space="preserve">100564</t>
  </si>
  <si>
    <t xml:space="preserve">0010-23819</t>
  </si>
  <si>
    <t xml:space="preserve">100565</t>
  </si>
  <si>
    <t xml:space="preserve">0010-23840</t>
  </si>
  <si>
    <t xml:space="preserve">100427</t>
  </si>
  <si>
    <t xml:space="preserve">0010-24076</t>
  </si>
  <si>
    <t xml:space="preserve">100463</t>
  </si>
  <si>
    <t xml:space="preserve">0010-24189</t>
  </si>
  <si>
    <t xml:space="preserve">100462</t>
  </si>
  <si>
    <t xml:space="preserve">100464</t>
  </si>
  <si>
    <t xml:space="preserve">0010-24300</t>
  </si>
  <si>
    <t xml:space="preserve">100428</t>
  </si>
  <si>
    <t xml:space="preserve">0010-24356</t>
  </si>
  <si>
    <t xml:space="preserve">100429</t>
  </si>
  <si>
    <t xml:space="preserve">0010-24357</t>
  </si>
  <si>
    <t xml:space="preserve">100430</t>
  </si>
  <si>
    <t xml:space="preserve">0010-24358</t>
  </si>
  <si>
    <t xml:space="preserve">100566</t>
  </si>
  <si>
    <t xml:space="preserve">0010-24405</t>
  </si>
  <si>
    <t xml:space="preserve">100431</t>
  </si>
  <si>
    <t xml:space="preserve">0010-24456</t>
  </si>
  <si>
    <t xml:space="preserve">100465</t>
  </si>
  <si>
    <t xml:space="preserve">0010-24685</t>
  </si>
  <si>
    <t xml:space="preserve">100441</t>
  </si>
  <si>
    <t xml:space="preserve">0010-25154</t>
  </si>
  <si>
    <t xml:space="preserve">300mm TxZ MCA E-Chuck Assy</t>
  </si>
  <si>
    <t xml:space="preserve">100567</t>
  </si>
  <si>
    <t xml:space="preserve">0010-25739</t>
  </si>
  <si>
    <t xml:space="preserve">100568</t>
  </si>
  <si>
    <t xml:space="preserve">0010-26093</t>
  </si>
  <si>
    <t xml:space="preserve">AMAT Magnet assy</t>
  </si>
  <si>
    <t xml:space="preserve">100447</t>
  </si>
  <si>
    <t xml:space="preserve">0010-26264</t>
  </si>
  <si>
    <t xml:space="preserve">100569</t>
  </si>
  <si>
    <t xml:space="preserve">0010-26439</t>
  </si>
  <si>
    <t xml:space="preserve">100570</t>
  </si>
  <si>
    <t xml:space="preserve">0010-26441</t>
  </si>
  <si>
    <t xml:space="preserve">100571</t>
  </si>
  <si>
    <t xml:space="preserve">0010-26442</t>
  </si>
  <si>
    <t xml:space="preserve">100572</t>
  </si>
  <si>
    <t xml:space="preserve">0010-26451</t>
  </si>
  <si>
    <t xml:space="preserve">100573</t>
  </si>
  <si>
    <t xml:space="preserve">0010-27417</t>
  </si>
  <si>
    <t xml:space="preserve">100432</t>
  </si>
  <si>
    <t xml:space="preserve">0010-27430</t>
  </si>
  <si>
    <t xml:space="preserve">100433</t>
  </si>
  <si>
    <t xml:space="preserve">0010-27431</t>
  </si>
  <si>
    <t xml:space="preserve">100434</t>
  </si>
  <si>
    <t xml:space="preserve">0010-27983</t>
  </si>
  <si>
    <t xml:space="preserve">100467</t>
  </si>
  <si>
    <t xml:space="preserve">0010-28081</t>
  </si>
  <si>
    <t xml:space="preserve">100466</t>
  </si>
  <si>
    <t xml:space="preserve">100442</t>
  </si>
  <si>
    <t xml:space="preserve">0010-28715</t>
  </si>
  <si>
    <t xml:space="preserve">100468</t>
  </si>
  <si>
    <t xml:space="preserve">0010-29128</t>
  </si>
  <si>
    <t xml:space="preserve">100448</t>
  </si>
  <si>
    <t xml:space="preserve">0010-29443</t>
  </si>
  <si>
    <t xml:space="preserve">100469</t>
  </si>
  <si>
    <t xml:space="preserve">0010-29907</t>
  </si>
  <si>
    <t xml:space="preserve">100574</t>
  </si>
  <si>
    <t xml:space="preserve">0010-30631</t>
  </si>
  <si>
    <t xml:space="preserve">100470</t>
  </si>
  <si>
    <t xml:space="preserve">0010-30838</t>
  </si>
  <si>
    <t xml:space="preserve">100575</t>
  </si>
  <si>
    <t xml:space="preserve">0010-31177</t>
  </si>
  <si>
    <t xml:space="preserve">100471</t>
  </si>
  <si>
    <t xml:space="preserve">0010-31707</t>
  </si>
  <si>
    <t xml:space="preserve">100472</t>
  </si>
  <si>
    <t xml:space="preserve">0010-31708</t>
  </si>
  <si>
    <t xml:space="preserve">100474</t>
  </si>
  <si>
    <t xml:space="preserve">0010-31709</t>
  </si>
  <si>
    <t xml:space="preserve">100473</t>
  </si>
  <si>
    <t xml:space="preserve">100475</t>
  </si>
  <si>
    <t xml:space="preserve">0010-31724</t>
  </si>
  <si>
    <t xml:space="preserve">100476</t>
  </si>
  <si>
    <t xml:space="preserve">0010-31871</t>
  </si>
  <si>
    <t xml:space="preserve">100477</t>
  </si>
  <si>
    <t xml:space="preserve">0010-31879</t>
  </si>
  <si>
    <t xml:space="preserve">100403</t>
  </si>
  <si>
    <t xml:space="preserve">0010-33488</t>
  </si>
  <si>
    <t xml:space="preserve">300mm Endura Puck ESC Assy</t>
  </si>
  <si>
    <t xml:space="preserve">100576</t>
  </si>
  <si>
    <t xml:space="preserve">0010-33883</t>
  </si>
  <si>
    <t xml:space="preserve">100622</t>
  </si>
  <si>
    <t xml:space="preserve">0010-33888</t>
  </si>
  <si>
    <t xml:space="preserve">100623</t>
  </si>
  <si>
    <t xml:space="preserve">0010-33889</t>
  </si>
  <si>
    <t xml:space="preserve">100478</t>
  </si>
  <si>
    <t xml:space="preserve">0010-34715</t>
  </si>
  <si>
    <t xml:space="preserve">100479</t>
  </si>
  <si>
    <t xml:space="preserve">0010-36734</t>
  </si>
  <si>
    <t xml:space="preserve">100481</t>
  </si>
  <si>
    <t xml:space="preserve">0010-36736</t>
  </si>
  <si>
    <t xml:space="preserve">100480</t>
  </si>
  <si>
    <t xml:space="preserve">100482</t>
  </si>
  <si>
    <t xml:space="preserve">0010-36738</t>
  </si>
  <si>
    <t xml:space="preserve">100483</t>
  </si>
  <si>
    <t xml:space="preserve">0010-36740</t>
  </si>
  <si>
    <t xml:space="preserve">100404</t>
  </si>
  <si>
    <t xml:space="preserve">0010-41276</t>
  </si>
  <si>
    <t xml:space="preserve">100620</t>
  </si>
  <si>
    <t xml:space="preserve">0010-47599</t>
  </si>
  <si>
    <t xml:space="preserve">AMAT Magnet Assy(200mm)</t>
  </si>
  <si>
    <t xml:space="preserve">100435</t>
  </si>
  <si>
    <t xml:space="preserve">0010-47927</t>
  </si>
  <si>
    <t xml:space="preserve">100484</t>
  </si>
  <si>
    <t xml:space="preserve">0010-48841</t>
  </si>
  <si>
    <t xml:space="preserve">100436</t>
  </si>
  <si>
    <t xml:space="preserve">0010-50943</t>
  </si>
  <si>
    <t xml:space="preserve">100437</t>
  </si>
  <si>
    <t xml:space="preserve">0010-51269</t>
  </si>
  <si>
    <t xml:space="preserve">21</t>
  </si>
  <si>
    <t xml:space="preserve">100485</t>
  </si>
  <si>
    <t xml:space="preserve">0010-53618</t>
  </si>
  <si>
    <t xml:space="preserve">100486</t>
  </si>
  <si>
    <t xml:space="preserve">0010-53901</t>
  </si>
  <si>
    <t xml:space="preserve">100438</t>
  </si>
  <si>
    <t xml:space="preserve">0010-54667</t>
  </si>
  <si>
    <t xml:space="preserve">100439</t>
  </si>
  <si>
    <t xml:space="preserve">0010-56201</t>
  </si>
  <si>
    <t xml:space="preserve">100487</t>
  </si>
  <si>
    <t xml:space="preserve">0010-59785</t>
  </si>
  <si>
    <t xml:space="preserve">100489</t>
  </si>
  <si>
    <t xml:space="preserve">0010-59787</t>
  </si>
  <si>
    <t xml:space="preserve">100488</t>
  </si>
  <si>
    <t xml:space="preserve">100490</t>
  </si>
  <si>
    <t xml:space="preserve">0010-59788</t>
  </si>
  <si>
    <t xml:space="preserve">100491</t>
  </si>
  <si>
    <t xml:space="preserve">0010-59789</t>
  </si>
  <si>
    <t xml:space="preserve">100492</t>
  </si>
  <si>
    <t xml:space="preserve">0010-59798</t>
  </si>
  <si>
    <t xml:space="preserve">100493</t>
  </si>
  <si>
    <t xml:space="preserve">0010-62742</t>
  </si>
  <si>
    <t xml:space="preserve">100495</t>
  </si>
  <si>
    <t xml:space="preserve">0010-65541</t>
  </si>
  <si>
    <t xml:space="preserve">100494</t>
  </si>
  <si>
    <t xml:space="preserve">100402</t>
  </si>
  <si>
    <t xml:space="preserve">0010-76617</t>
  </si>
  <si>
    <t xml:space="preserve">100577</t>
  </si>
  <si>
    <t xml:space="preserve">0010-76693</t>
  </si>
  <si>
    <t xml:space="preserve">100578</t>
  </si>
  <si>
    <t xml:space="preserve">0020-01075</t>
  </si>
  <si>
    <t xml:space="preserve">100579</t>
  </si>
  <si>
    <t xml:space="preserve">0020-01995</t>
  </si>
  <si>
    <t xml:space="preserve">100580</t>
  </si>
  <si>
    <t xml:space="preserve">0020-01996</t>
  </si>
  <si>
    <t xml:space="preserve">100581</t>
  </si>
  <si>
    <t xml:space="preserve">0020-01997</t>
  </si>
  <si>
    <t xml:space="preserve">100582</t>
  </si>
  <si>
    <t xml:space="preserve">0020-01998</t>
  </si>
  <si>
    <t xml:space="preserve">100583</t>
  </si>
  <si>
    <t xml:space="preserve">0020-01999</t>
  </si>
  <si>
    <t xml:space="preserve">100584</t>
  </si>
  <si>
    <t xml:space="preserve">0020-02800</t>
  </si>
  <si>
    <t xml:space="preserve">100440</t>
  </si>
  <si>
    <t xml:space="preserve">0020-08825</t>
  </si>
  <si>
    <t xml:space="preserve">100585</t>
  </si>
  <si>
    <t xml:space="preserve">0020-20157</t>
  </si>
  <si>
    <t xml:space="preserve">100586</t>
  </si>
  <si>
    <t xml:space="preserve">0020-20159</t>
  </si>
  <si>
    <t xml:space="preserve">100587</t>
  </si>
  <si>
    <t xml:space="preserve">0020-20297</t>
  </si>
  <si>
    <t xml:space="preserve">100588</t>
  </si>
  <si>
    <t xml:space="preserve">0020-20298</t>
  </si>
  <si>
    <t xml:space="preserve">100589</t>
  </si>
  <si>
    <t xml:space="preserve">0020-20299</t>
  </si>
  <si>
    <t xml:space="preserve">100590</t>
  </si>
  <si>
    <t xml:space="preserve">0020-20300</t>
  </si>
  <si>
    <t xml:space="preserve">100591</t>
  </si>
  <si>
    <t xml:space="preserve">0020-21386</t>
  </si>
  <si>
    <t xml:space="preserve">100592</t>
  </si>
  <si>
    <t xml:space="preserve">0020-22150</t>
  </si>
  <si>
    <t xml:space="preserve">100593</t>
  </si>
  <si>
    <t xml:space="preserve">0020-22152</t>
  </si>
  <si>
    <t xml:space="preserve">100594</t>
  </si>
  <si>
    <t xml:space="preserve">0020-22153</t>
  </si>
  <si>
    <t xml:space="preserve">100595</t>
  </si>
  <si>
    <t xml:space="preserve">0020-22373</t>
  </si>
  <si>
    <t xml:space="preserve">100596</t>
  </si>
  <si>
    <t xml:space="preserve">0020-22674</t>
  </si>
  <si>
    <t xml:space="preserve">100597</t>
  </si>
  <si>
    <t xml:space="preserve">0020-22675</t>
  </si>
  <si>
    <t xml:space="preserve">100598</t>
  </si>
  <si>
    <t xml:space="preserve">0020-22676</t>
  </si>
  <si>
    <t xml:space="preserve">100599</t>
  </si>
  <si>
    <t xml:space="preserve">0020-23559</t>
  </si>
  <si>
    <t xml:space="preserve">100600</t>
  </si>
  <si>
    <t xml:space="preserve">0020-24562</t>
  </si>
  <si>
    <t xml:space="preserve">100601</t>
  </si>
  <si>
    <t xml:space="preserve">0020-28491</t>
  </si>
  <si>
    <t xml:space="preserve">98027</t>
  </si>
  <si>
    <t xml:space="preserve">0020-40036	</t>
  </si>
  <si>
    <t xml:space="preserve">Wide Body Load Lock</t>
  </si>
  <si>
    <t xml:space="preserve">100602</t>
  </si>
  <si>
    <t xml:space="preserve">0020-54900</t>
  </si>
  <si>
    <t xml:space="preserve">100443</t>
  </si>
  <si>
    <t xml:space="preserve">0020-83936</t>
  </si>
  <si>
    <t xml:space="preserve">100603</t>
  </si>
  <si>
    <t xml:space="preserve">0021-04527</t>
  </si>
  <si>
    <t xml:space="preserve">100604</t>
  </si>
  <si>
    <t xml:space="preserve">0021-08475</t>
  </si>
  <si>
    <t xml:space="preserve">100605</t>
  </si>
  <si>
    <t xml:space="preserve">0021-08478</t>
  </si>
  <si>
    <t xml:space="preserve">100606</t>
  </si>
  <si>
    <t xml:space="preserve">0021-08480</t>
  </si>
  <si>
    <t xml:space="preserve">100607</t>
  </si>
  <si>
    <t xml:space="preserve">0021-11382</t>
  </si>
  <si>
    <t xml:space="preserve">100608</t>
  </si>
  <si>
    <t xml:space="preserve">0021-13957</t>
  </si>
  <si>
    <t xml:space="preserve">100609</t>
  </si>
  <si>
    <t xml:space="preserve">0021-13959</t>
  </si>
  <si>
    <t xml:space="preserve">100610</t>
  </si>
  <si>
    <t xml:space="preserve">0021-20199</t>
  </si>
  <si>
    <t xml:space="preserve">100611</t>
  </si>
  <si>
    <t xml:space="preserve">0021-28993</t>
  </si>
  <si>
    <t xml:space="preserve">100612</t>
  </si>
  <si>
    <t xml:space="preserve">0021-53959</t>
  </si>
  <si>
    <t xml:space="preserve">100496</t>
  </si>
  <si>
    <t xml:space="preserve">0040-04048</t>
  </si>
  <si>
    <t xml:space="preserve">100497</t>
  </si>
  <si>
    <t xml:space="preserve">0040-07024</t>
  </si>
  <si>
    <t xml:space="preserve">100498</t>
  </si>
  <si>
    <t xml:space="preserve">0040-07033</t>
  </si>
  <si>
    <t xml:space="preserve">100613</t>
  </si>
  <si>
    <t xml:space="preserve">0040-20100</t>
  </si>
  <si>
    <t xml:space="preserve">100614</t>
  </si>
  <si>
    <t xml:space="preserve">0040-20129</t>
  </si>
  <si>
    <t xml:space="preserve">100615</t>
  </si>
  <si>
    <t xml:space="preserve">0040-22651</t>
  </si>
  <si>
    <t xml:space="preserve">100616</t>
  </si>
  <si>
    <t xml:space="preserve">0040-22710</t>
  </si>
  <si>
    <t xml:space="preserve">100617</t>
  </si>
  <si>
    <t xml:space="preserve">0040-23053</t>
  </si>
  <si>
    <t xml:space="preserve">100618</t>
  </si>
  <si>
    <t xml:space="preserve">0040-23345</t>
  </si>
  <si>
    <t xml:space="preserve">100449</t>
  </si>
  <si>
    <t xml:space="preserve">0040-34698</t>
  </si>
  <si>
    <t xml:space="preserve">100450</t>
  </si>
  <si>
    <t xml:space="preserve">0040-39695</t>
  </si>
  <si>
    <t xml:space="preserve">100499</t>
  </si>
  <si>
    <t xml:space="preserve">0040-44585</t>
  </si>
  <si>
    <t xml:space="preserve">100500</t>
  </si>
  <si>
    <t xml:space="preserve">0040-49020</t>
  </si>
  <si>
    <t xml:space="preserve">100501</t>
  </si>
  <si>
    <t xml:space="preserve">0040-53976</t>
  </si>
  <si>
    <t xml:space="preserve">100451</t>
  </si>
  <si>
    <t xml:space="preserve">0040-54449</t>
  </si>
  <si>
    <t xml:space="preserve">100452</t>
  </si>
  <si>
    <t xml:space="preserve">0040-60524</t>
  </si>
  <si>
    <t xml:space="preserve">100502</t>
  </si>
  <si>
    <t xml:space="preserve">0040-82041</t>
  </si>
  <si>
    <t xml:space="preserve">100503</t>
  </si>
  <si>
    <t xml:space="preserve">0040-82421</t>
  </si>
  <si>
    <t xml:space="preserve">100505</t>
  </si>
  <si>
    <t xml:space="preserve">0040-84051</t>
  </si>
  <si>
    <t xml:space="preserve">100504</t>
  </si>
  <si>
    <t xml:space="preserve">100506</t>
  </si>
  <si>
    <t xml:space="preserve">0040-84715</t>
  </si>
  <si>
    <t xml:space="preserve">100619</t>
  </si>
  <si>
    <t xml:space="preserve">0040-84886</t>
  </si>
  <si>
    <t xml:space="preserve">100507</t>
  </si>
  <si>
    <t xml:space="preserve">0040-85475</t>
  </si>
  <si>
    <t xml:space="preserve">100508</t>
  </si>
  <si>
    <t xml:space="preserve">0040-85725</t>
  </si>
  <si>
    <t xml:space="preserve">100453</t>
  </si>
  <si>
    <t xml:space="preserve">0040-88097</t>
  </si>
  <si>
    <t xml:space="preserve">100509</t>
  </si>
  <si>
    <t xml:space="preserve">0040-89894</t>
  </si>
  <si>
    <t xml:space="preserve">100444</t>
  </si>
  <si>
    <t xml:space="preserve">0040-91179</t>
  </si>
  <si>
    <t xml:space="preserve">100454</t>
  </si>
  <si>
    <t xml:space="preserve">0040-99442</t>
  </si>
  <si>
    <t xml:space="preserve">100445</t>
  </si>
  <si>
    <t xml:space="preserve">0040-99580</t>
  </si>
  <si>
    <t xml:space="preserve">100624</t>
  </si>
  <si>
    <t xml:space="preserve">0041-01138</t>
  </si>
  <si>
    <t xml:space="preserve">100510</t>
  </si>
  <si>
    <t xml:space="preserve">0041-01652</t>
  </si>
  <si>
    <t xml:space="preserve">100511</t>
  </si>
  <si>
    <t xml:space="preserve">0041-10493</t>
  </si>
  <si>
    <t xml:space="preserve">100512</t>
  </si>
  <si>
    <t xml:space="preserve">0041-34310</t>
  </si>
  <si>
    <t xml:space="preserve">100513</t>
  </si>
  <si>
    <t xml:space="preserve">0041-61870</t>
  </si>
  <si>
    <t xml:space="preserve">100514</t>
  </si>
  <si>
    <t xml:space="preserve">0041-85012</t>
  </si>
  <si>
    <t xml:space="preserve">100515</t>
  </si>
  <si>
    <t xml:space="preserve">0190-05083</t>
  </si>
  <si>
    <t xml:space="preserve">100757</t>
  </si>
  <si>
    <t xml:space="preserve">Axiom HT plus</t>
  </si>
  <si>
    <t xml:space="preserve">Axiom HT+ strip chamber</t>
  </si>
  <si>
    <t xml:space="preserve">97520</t>
  </si>
  <si>
    <t xml:space="preserve">Centura 4.0 eMax</t>
  </si>
  <si>
    <t xml:space="preserve">99910</t>
  </si>
  <si>
    <t xml:space="preserve">Centura 5200</t>
  </si>
  <si>
    <t xml:space="preserve">3 chamber PVD system</t>
  </si>
  <si>
    <t xml:space="preserve">99943</t>
  </si>
  <si>
    <t xml:space="preserve">Centura 5200 DPS Metal</t>
  </si>
  <si>
    <t xml:space="preserve">Metal Etch</t>
  </si>
  <si>
    <t xml:space="preserve">97849</t>
  </si>
  <si>
    <t xml:space="preserve">Centura 5200 DPS2 Poly</t>
  </si>
  <si>
    <t xml:space="preserve">Poly Etcher</t>
  </si>
  <si>
    <t xml:space="preserve">99292</t>
  </si>
  <si>
    <t xml:space="preserve">Centura 5200 EPI HTF</t>
  </si>
  <si>
    <t xml:space="preserve">EPI Deposition, 3 CH ATM</t>
  </si>
  <si>
    <t xml:space="preserve">98021</t>
  </si>
  <si>
    <t xml:space="preserve">Centura 5200 PVD</t>
  </si>
  <si>
    <t xml:space="preserve">PVD system with 3 chambers</t>
  </si>
  <si>
    <t xml:space="preserve">100076</t>
  </si>
  <si>
    <t xml:space="preserve">Centura ACP DPN Gate Stack</t>
  </si>
  <si>
    <t xml:space="preserve">Decoupled Plasma Nitride</t>
  </si>
  <si>
    <t xml:space="preserve">100077</t>
  </si>
  <si>
    <t xml:space="preserve">Centura ACP RP EPI</t>
  </si>
  <si>
    <t xml:space="preserve">Epitaxial Silicon (EPI)</t>
  </si>
  <si>
    <t xml:space="preserve">97523</t>
  </si>
  <si>
    <t xml:space="preserve">Centura AdvantEdge Mesa2</t>
  </si>
  <si>
    <t xml:space="preserve">Polysilicon Etch</t>
  </si>
  <si>
    <t xml:space="preserve">99088</t>
  </si>
  <si>
    <t xml:space="preserve">Centura AP - Mainframe Only</t>
  </si>
  <si>
    <t xml:space="preserve">96808</t>
  </si>
  <si>
    <t xml:space="preserve">Centura AP AdvantEdge G5 Mesa T2 Poly</t>
  </si>
  <si>
    <t xml:space="preserve">300 MM</t>
  </si>
  <si>
    <t xml:space="preserve">96807</t>
  </si>
  <si>
    <t xml:space="preserve">96806</t>
  </si>
  <si>
    <t xml:space="preserve">96805</t>
  </si>
  <si>
    <t xml:space="preserve">99090</t>
  </si>
  <si>
    <t xml:space="preserve">Centura AP DPS AdvantEdge G2 Metal - Chamber Only</t>
  </si>
  <si>
    <t xml:space="preserve">99089</t>
  </si>
  <si>
    <t xml:space="preserve">99091</t>
  </si>
  <si>
    <t xml:space="preserve">Centura AP DPS AdvantEdge G2 Poly</t>
  </si>
  <si>
    <t xml:space="preserve">96812</t>
  </si>
  <si>
    <t xml:space="preserve">Centura AP DPS II Polysilicon</t>
  </si>
  <si>
    <t xml:space="preserve">100078</t>
  </si>
  <si>
    <t xml:space="preserve">Centura AP Enabler</t>
  </si>
  <si>
    <t xml:space="preserve">97527</t>
  </si>
  <si>
    <t xml:space="preserve">100079</t>
  </si>
  <si>
    <t xml:space="preserve">Centura AP Ultima X</t>
  </si>
  <si>
    <t xml:space="preserve">HDP CVD (Chemical Vapor Deposition)</t>
  </si>
  <si>
    <t xml:space="preserve">97537</t>
  </si>
  <si>
    <t xml:space="preserve">97536</t>
  </si>
  <si>
    <t xml:space="preserve">97535</t>
  </si>
  <si>
    <t xml:space="preserve">97534</t>
  </si>
  <si>
    <t xml:space="preserve">97533</t>
  </si>
  <si>
    <t xml:space="preserve">97532</t>
  </si>
  <si>
    <t xml:space="preserve">97531</t>
  </si>
  <si>
    <t xml:space="preserve">97530</t>
  </si>
  <si>
    <t xml:space="preserve">96818</t>
  </si>
  <si>
    <t xml:space="preserve">98067</t>
  </si>
  <si>
    <t xml:space="preserve">Centura AP UltimaX</t>
  </si>
  <si>
    <t xml:space="preserve">HDP CVD Oxide</t>
  </si>
  <si>
    <t xml:space="preserve">98066</t>
  </si>
  <si>
    <t xml:space="preserve">HDP Dep</t>
  </si>
  <si>
    <t xml:space="preserve">98065</t>
  </si>
  <si>
    <t xml:space="preserve">IMD FSG/USG HDP</t>
  </si>
  <si>
    <t xml:space="preserve">98064</t>
  </si>
  <si>
    <t xml:space="preserve">98063</t>
  </si>
  <si>
    <t xml:space="preserve">98068</t>
  </si>
  <si>
    <t xml:space="preserve">Centura Carina</t>
  </si>
  <si>
    <t xml:space="preserve">1 Carina CHM</t>
  </si>
  <si>
    <t xml:space="preserve">100031</t>
  </si>
  <si>
    <t xml:space="preserve">Centura DPS 2 Advantedge Mesa</t>
  </si>
  <si>
    <t xml:space="preserve">Dry Etch</t>
  </si>
  <si>
    <t xml:space="preserve">100032</t>
  </si>
  <si>
    <t xml:space="preserve">Centura DPS 2 G5</t>
  </si>
  <si>
    <t xml:space="preserve">97219</t>
  </si>
  <si>
    <t xml:space="preserve">CENTURA DPS G5</t>
  </si>
  <si>
    <t xml:space="preserve">97218</t>
  </si>
  <si>
    <t xml:space="preserve">Dry etch</t>
  </si>
  <si>
    <t xml:space="preserve">97215</t>
  </si>
  <si>
    <t xml:space="preserve">CENTURA DPS G5 MESA</t>
  </si>
  <si>
    <t xml:space="preserve">96972</t>
  </si>
  <si>
    <t xml:space="preserve">Centura DPS II</t>
  </si>
  <si>
    <t xml:space="preserve">Metal Etcher</t>
  </si>
  <si>
    <t xml:space="preserve">96971</t>
  </si>
  <si>
    <t xml:space="preserve">98557</t>
  </si>
  <si>
    <t xml:space="preserve">Centura DPS II (AE) POLY</t>
  </si>
  <si>
    <t xml:space="preserve">POLY ETCHER</t>
  </si>
  <si>
    <t xml:space="preserve">98556</t>
  </si>
  <si>
    <t xml:space="preserve">98555</t>
  </si>
  <si>
    <t xml:space="preserve">98070</t>
  </si>
  <si>
    <t xml:space="preserve">Centura eMax CT+</t>
  </si>
  <si>
    <t xml:space="preserve">ETCH</t>
  </si>
  <si>
    <t xml:space="preserve">98069</t>
  </si>
  <si>
    <t xml:space="preserve">98071</t>
  </si>
  <si>
    <t xml:space="preserve">Oxide Etch</t>
  </si>
  <si>
    <t xml:space="preserve">98072</t>
  </si>
  <si>
    <t xml:space="preserve">Centura Enabler</t>
  </si>
  <si>
    <t xml:space="preserve">98073</t>
  </si>
  <si>
    <t xml:space="preserve">Centura Enabler E2</t>
  </si>
  <si>
    <t xml:space="preserve">99293</t>
  </si>
  <si>
    <t xml:space="preserve">Centura RTP</t>
  </si>
  <si>
    <t xml:space="preserve">RTP system with 1 X Polygen Chamber SiN Process</t>
  </si>
  <si>
    <t xml:space="preserve">99974</t>
  </si>
  <si>
    <t xml:space="preserve">Centura Ultima</t>
  </si>
  <si>
    <t xml:space="preserve">HDP-CVD</t>
  </si>
  <si>
    <t xml:space="preserve">98796</t>
  </si>
  <si>
    <t xml:space="preserve">COMPLUS4T</t>
  </si>
  <si>
    <t xml:space="preserve">Darkfield Inspection System</t>
  </si>
  <si>
    <t xml:space="preserve">97214</t>
  </si>
  <si>
    <t xml:space="preserve">COMPLUS 4T</t>
  </si>
  <si>
    <t xml:space="preserve">97213</t>
  </si>
  <si>
    <t xml:space="preserve">98991</t>
  </si>
  <si>
    <t xml:space="preserve">DPS</t>
  </si>
  <si>
    <t xml:space="preserve">98374</t>
  </si>
  <si>
    <t xml:space="preserve">DPS Chambers</t>
  </si>
  <si>
    <t xml:space="preserve">98260</t>
  </si>
  <si>
    <t xml:space="preserve">DPS G5</t>
  </si>
  <si>
    <t xml:space="preserve">98259</t>
  </si>
  <si>
    <t xml:space="preserve">98258</t>
  </si>
  <si>
    <t xml:space="preserve">98261</t>
  </si>
  <si>
    <t xml:space="preserve">DPS G5 MESA</t>
  </si>
  <si>
    <t xml:space="preserve">98992</t>
  </si>
  <si>
    <t xml:space="preserve">DPS_G5_Mesa</t>
  </si>
  <si>
    <t xml:space="preserve">100758</t>
  </si>
  <si>
    <t xml:space="preserve">eMax CT</t>
  </si>
  <si>
    <t xml:space="preserve">eMax CT Dielectric etch chamber</t>
  </si>
  <si>
    <t xml:space="preserve">100760</t>
  </si>
  <si>
    <t xml:space="preserve">eMax CT plus</t>
  </si>
  <si>
    <t xml:space="preserve">eMax CT+ Dielectric etch chamber</t>
  </si>
  <si>
    <t xml:space="preserve">100759</t>
  </si>
  <si>
    <t xml:space="preserve">98993</t>
  </si>
  <si>
    <t xml:space="preserve">EMAX-CT-PLUS</t>
  </si>
  <si>
    <t xml:space="preserve">100762</t>
  </si>
  <si>
    <t xml:space="preserve">Enabler</t>
  </si>
  <si>
    <t xml:space="preserve">Enabler Dielectric etch chamber</t>
  </si>
  <si>
    <t xml:space="preserve">100761</t>
  </si>
  <si>
    <t xml:space="preserve">98375</t>
  </si>
  <si>
    <t xml:space="preserve">Enabler Chamber System</t>
  </si>
  <si>
    <t xml:space="preserve">98022</t>
  </si>
  <si>
    <t xml:space="preserve">ENABLER_E2</t>
  </si>
  <si>
    <t xml:space="preserve">97217</t>
  </si>
  <si>
    <t xml:space="preserve">ENDURA</t>
  </si>
  <si>
    <t xml:space="preserve">PVD System</t>
  </si>
  <si>
    <t xml:space="preserve">97216</t>
  </si>
  <si>
    <t xml:space="preserve">98025</t>
  </si>
  <si>
    <t xml:space="preserve">ENDURA  II  Chamber</t>
  </si>
  <si>
    <t xml:space="preserve">PVD</t>
  </si>
  <si>
    <t xml:space="preserve">98024</t>
  </si>
  <si>
    <t xml:space="preserve">98023</t>
  </si>
  <si>
    <t xml:space="preserve">98800</t>
  </si>
  <si>
    <t xml:space="preserve">ENDURA 2</t>
  </si>
  <si>
    <t xml:space="preserve">METAL</t>
  </si>
  <si>
    <t xml:space="preserve">98799</t>
  </si>
  <si>
    <t xml:space="preserve">98801</t>
  </si>
  <si>
    <t xml:space="preserve">Metal Etch HT-Al 2ch / SIP-Ti 1ch</t>
  </si>
  <si>
    <t xml:space="preserve">98798</t>
  </si>
  <si>
    <t xml:space="preserve">METAL PCXT</t>
  </si>
  <si>
    <t xml:space="preserve">98797</t>
  </si>
  <si>
    <t xml:space="preserve">98074</t>
  </si>
  <si>
    <t xml:space="preserve">Endura 2 Chamber</t>
  </si>
  <si>
    <t xml:space="preserve">Al Chamber, AL</t>
  </si>
  <si>
    <t xml:space="preserve">98075</t>
  </si>
  <si>
    <t xml:space="preserve">Endura CL</t>
  </si>
  <si>
    <t xml:space="preserve">98076</t>
  </si>
  <si>
    <t xml:space="preserve">98077</t>
  </si>
  <si>
    <t xml:space="preserve">Endura CL Chamber</t>
  </si>
  <si>
    <t xml:space="preserve">PVD Chamber</t>
  </si>
  <si>
    <t xml:space="preserve">98262</t>
  </si>
  <si>
    <t xml:space="preserve">Endura CL PVD</t>
  </si>
  <si>
    <t xml:space="preserve">97541</t>
  </si>
  <si>
    <t xml:space="preserve">Endura II Chamber</t>
  </si>
  <si>
    <t xml:space="preserve">Chamber</t>
  </si>
  <si>
    <t xml:space="preserve">97540</t>
  </si>
  <si>
    <t xml:space="preserve">97546</t>
  </si>
  <si>
    <t xml:space="preserve">Endura II Chamber: PC XT</t>
  </si>
  <si>
    <t xml:space="preserve">PVD (Physical Vapor Deposition)</t>
  </si>
  <si>
    <t xml:space="preserve">97545</t>
  </si>
  <si>
    <t xml:space="preserve">97544</t>
  </si>
  <si>
    <t xml:space="preserve">100080</t>
  </si>
  <si>
    <t xml:space="preserve">Endura II Chamber: PVD</t>
  </si>
  <si>
    <t xml:space="preserve">99098</t>
  </si>
  <si>
    <t xml:space="preserve">Endura II Chamber: SIP</t>
  </si>
  <si>
    <t xml:space="preserve">100085</t>
  </si>
  <si>
    <t xml:space="preserve">Endura II Front-End Metallization</t>
  </si>
  <si>
    <t xml:space="preserve">100084</t>
  </si>
  <si>
    <t xml:space="preserve">100083</t>
  </si>
  <si>
    <t xml:space="preserve">100082</t>
  </si>
  <si>
    <t xml:space="preserve">100081</t>
  </si>
  <si>
    <t xml:space="preserve">97553</t>
  </si>
  <si>
    <t xml:space="preserve">Endura II Liner/Barrier</t>
  </si>
  <si>
    <t xml:space="preserve">96824</t>
  </si>
  <si>
    <t xml:space="preserve">96823</t>
  </si>
  <si>
    <t xml:space="preserve">96822</t>
  </si>
  <si>
    <t xml:space="preserve">96821</t>
  </si>
  <si>
    <t xml:space="preserve">97053</t>
  </si>
  <si>
    <t xml:space="preserve">ENDURA2 Chamber only</t>
  </si>
  <si>
    <t xml:space="preserve">Amber-(Ti) chamber</t>
  </si>
  <si>
    <t xml:space="preserve">97054</t>
  </si>
  <si>
    <t xml:space="preserve">ESIP chamber</t>
  </si>
  <si>
    <t xml:space="preserve">97055</t>
  </si>
  <si>
    <t xml:space="preserve">Extensa Chamber</t>
  </si>
  <si>
    <t xml:space="preserve">97056</t>
  </si>
  <si>
    <t xml:space="preserve">IMP-Ti Chamber</t>
  </si>
  <si>
    <t xml:space="preserve">97057</t>
  </si>
  <si>
    <t xml:space="preserve">MOALD (IMP Ti) Chamber</t>
  </si>
  <si>
    <t xml:space="preserve">97059</t>
  </si>
  <si>
    <t xml:space="preserve">RfxT_CU Chamber</t>
  </si>
  <si>
    <t xml:space="preserve">97058</t>
  </si>
  <si>
    <t xml:space="preserve">97063</t>
  </si>
  <si>
    <t xml:space="preserve">ENDURA2 Chamber Only</t>
  </si>
  <si>
    <t xml:space="preserve">WSI chamber only</t>
  </si>
  <si>
    <t xml:space="preserve">97062</t>
  </si>
  <si>
    <t xml:space="preserve">97061</t>
  </si>
  <si>
    <t xml:space="preserve">97060</t>
  </si>
  <si>
    <t xml:space="preserve">98997</t>
  </si>
  <si>
    <t xml:space="preserve">ENDURA_2</t>
  </si>
  <si>
    <t xml:space="preserve">98996</t>
  </si>
  <si>
    <t xml:space="preserve">98995</t>
  </si>
  <si>
    <t xml:space="preserve">98994</t>
  </si>
  <si>
    <t xml:space="preserve">98998</t>
  </si>
  <si>
    <t xml:space="preserve">G5</t>
  </si>
  <si>
    <t xml:space="preserve">98802</t>
  </si>
  <si>
    <t xml:space="preserve">98803</t>
  </si>
  <si>
    <t xml:space="preserve">G5-MESA-T2</t>
  </si>
  <si>
    <t xml:space="preserve">96973</t>
  </si>
  <si>
    <t xml:space="preserve">Mirra-Mesa</t>
  </si>
  <si>
    <t xml:space="preserve">CMP</t>
  </si>
  <si>
    <t xml:space="preserve">99300</t>
  </si>
  <si>
    <t xml:space="preserve">3 chamber CVD, Universal SiN process</t>
  </si>
  <si>
    <t xml:space="preserve">99296</t>
  </si>
  <si>
    <t xml:space="preserve">4 CH system with 2 x SiN CVD, 2 x Etch</t>
  </si>
  <si>
    <t xml:space="preserve">99299</t>
  </si>
  <si>
    <t xml:space="preserve">4 Chamber CVD, 2 CH etch, 2 ch TEOS</t>
  </si>
  <si>
    <t xml:space="preserve">99294</t>
  </si>
  <si>
    <t xml:space="preserve">CVD 4 CH dxZ - SiN process</t>
  </si>
  <si>
    <t xml:space="preserve">99297</t>
  </si>
  <si>
    <t xml:space="preserve">CVD with 2 CH etch, 2 CH CVD TEOS</t>
  </si>
  <si>
    <t xml:space="preserve">99295</t>
  </si>
  <si>
    <t xml:space="preserve">CVD, 3 x Universal CVD Ch, SIN process</t>
  </si>
  <si>
    <t xml:space="preserve">98514</t>
  </si>
  <si>
    <t xml:space="preserve">98079</t>
  </si>
  <si>
    <t xml:space="preserve">PECVD</t>
  </si>
  <si>
    <t xml:space="preserve">120 mm</t>
  </si>
  <si>
    <t xml:space="preserve">98898</t>
  </si>
  <si>
    <t xml:space="preserve">PECVD_SiN/SiO</t>
  </si>
  <si>
    <t xml:space="preserve">98897</t>
  </si>
  <si>
    <t xml:space="preserve">100694</t>
  </si>
  <si>
    <t xml:space="preserve">PECVD-TEOS</t>
  </si>
  <si>
    <t xml:space="preserve">98078</t>
  </si>
  <si>
    <t xml:space="preserve">TEOS</t>
  </si>
  <si>
    <t xml:space="preserve">99847</t>
  </si>
  <si>
    <t xml:space="preserve">P5000 </t>
  </si>
  <si>
    <t xml:space="preserve">98328</t>
  </si>
  <si>
    <t xml:space="preserve">P5000 MxP METAL </t>
  </si>
  <si>
    <t xml:space="preserve">ETCH (Mainbody only)</t>
  </si>
  <si>
    <t xml:space="preserve">98026</t>
  </si>
  <si>
    <t xml:space="preserve">P5000 MxP Poly</t>
  </si>
  <si>
    <t xml:space="preserve">CVD</t>
  </si>
  <si>
    <t xml:space="preserve">99298</t>
  </si>
  <si>
    <t xml:space="preserve">P5000 SACVD</t>
  </si>
  <si>
    <t xml:space="preserve">4 CH system with 2 xTEOS CVD, 2 x Etch</t>
  </si>
  <si>
    <t xml:space="preserve">99978</t>
  </si>
  <si>
    <t xml:space="preserve">P-5000</t>
  </si>
  <si>
    <t xml:space="preserve">99977</t>
  </si>
  <si>
    <t xml:space="preserve">99976</t>
  </si>
  <si>
    <t xml:space="preserve">Metal Etcher 2CH+1ASP</t>
  </si>
  <si>
    <t xml:space="preserve">99975</t>
  </si>
  <si>
    <t xml:space="preserve">Poly Etcher 3 Poly Ch</t>
  </si>
  <si>
    <t xml:space="preserve">98080</t>
  </si>
  <si>
    <t xml:space="preserve">Producer</t>
  </si>
  <si>
    <t xml:space="preserve">PESiH4</t>
  </si>
  <si>
    <t xml:space="preserve">100346</t>
  </si>
  <si>
    <t xml:space="preserve">Producer GT</t>
  </si>
  <si>
    <t xml:space="preserve">CVD - 3 Twin chamber - HARP USG Process</t>
  </si>
  <si>
    <t xml:space="preserve">97221</t>
  </si>
  <si>
    <t xml:space="preserve">PRODUCER GT</t>
  </si>
  <si>
    <t xml:space="preserve">CVD System</t>
  </si>
  <si>
    <t xml:space="preserve">97220</t>
  </si>
  <si>
    <t xml:space="preserve">98329</t>
  </si>
  <si>
    <t xml:space="preserve">PRODUCER GT (Chamber)</t>
  </si>
  <si>
    <t xml:space="preserve">UV CURE CHAMBER</t>
  </si>
  <si>
    <t xml:space="preserve">100088</t>
  </si>
  <si>
    <t xml:space="preserve">Producer GT Celera</t>
  </si>
  <si>
    <t xml:space="preserve">PECVD (Chemical Vapor Deposition)</t>
  </si>
  <si>
    <t xml:space="preserve">100087</t>
  </si>
  <si>
    <t xml:space="preserve">100086</t>
  </si>
  <si>
    <t xml:space="preserve">98081</t>
  </si>
  <si>
    <t xml:space="preserve">Producer GT Chamber</t>
  </si>
  <si>
    <t xml:space="preserve">Low K</t>
  </si>
  <si>
    <t xml:space="preserve">97561</t>
  </si>
  <si>
    <t xml:space="preserve">Producer GT Eterna FCVD Chamber Only</t>
  </si>
  <si>
    <t xml:space="preserve">97563</t>
  </si>
  <si>
    <t xml:space="preserve">Producer GT PECVD TEOS Chamber Only</t>
  </si>
  <si>
    <t xml:space="preserve">97562</t>
  </si>
  <si>
    <t xml:space="preserve">100089</t>
  </si>
  <si>
    <t xml:space="preserve">Producer GT3 APFe</t>
  </si>
  <si>
    <t xml:space="preserve">99979</t>
  </si>
  <si>
    <t xml:space="preserve">Producer S</t>
  </si>
  <si>
    <t xml:space="preserve">98082</t>
  </si>
  <si>
    <t xml:space="preserve">Producer SE</t>
  </si>
  <si>
    <t xml:space="preserve">ACL</t>
  </si>
  <si>
    <t xml:space="preserve">99944</t>
  </si>
  <si>
    <t xml:space="preserve">CVD ACL</t>
  </si>
  <si>
    <t xml:space="preserve">97222</t>
  </si>
  <si>
    <t xml:space="preserve">PRODUCER SE</t>
  </si>
  <si>
    <t xml:space="preserve">PECVD System</t>
  </si>
  <si>
    <t xml:space="preserve">100090</t>
  </si>
  <si>
    <t xml:space="preserve">Producer SE BD/BLOk Low k Dielectric</t>
  </si>
  <si>
    <t xml:space="preserve">100091</t>
  </si>
  <si>
    <t xml:space="preserve">Producer SE SACVD HARP</t>
  </si>
  <si>
    <t xml:space="preserve">SACVD (Chemical Vapor Deposition)</t>
  </si>
  <si>
    <t xml:space="preserve">97567</t>
  </si>
  <si>
    <t xml:space="preserve">98999</t>
  </si>
  <si>
    <t xml:space="preserve">PRODUCER-GT</t>
  </si>
  <si>
    <t xml:space="preserve">98825</t>
  </si>
  <si>
    <t xml:space="preserve">98795</t>
  </si>
  <si>
    <t xml:space="preserve">PRODUCER-SE</t>
  </si>
  <si>
    <t xml:space="preserve">96826</t>
  </si>
  <si>
    <t xml:space="preserve">Quantum X Plus</t>
  </si>
  <si>
    <t xml:space="preserve">High Current Implanter</t>
  </si>
  <si>
    <t xml:space="preserve">98053</t>
  </si>
  <si>
    <t xml:space="preserve">QUANTUM X+</t>
  </si>
  <si>
    <t xml:space="preserve">SINGLE WAFER HIGH CURRENT IMPLANTER</t>
  </si>
  <si>
    <t xml:space="preserve">97225</t>
  </si>
  <si>
    <t xml:space="preserve">REFLEXION</t>
  </si>
  <si>
    <t xml:space="preserve">CMP System</t>
  </si>
  <si>
    <t xml:space="preserve">97224</t>
  </si>
  <si>
    <t xml:space="preserve">100092</t>
  </si>
  <si>
    <t xml:space="preserve">Reflexion</t>
  </si>
  <si>
    <t xml:space="preserve">Multi-Process CMP</t>
  </si>
  <si>
    <t xml:space="preserve">99108</t>
  </si>
  <si>
    <t xml:space="preserve">99107</t>
  </si>
  <si>
    <t xml:space="preserve">99104</t>
  </si>
  <si>
    <t xml:space="preserve">100093</t>
  </si>
  <si>
    <t xml:space="preserve">Reflexion - Dielectric</t>
  </si>
  <si>
    <t xml:space="preserve">Dielectric CMP</t>
  </si>
  <si>
    <t xml:space="preserve">99116</t>
  </si>
  <si>
    <t xml:space="preserve">99115</t>
  </si>
  <si>
    <t xml:space="preserve">99113</t>
  </si>
  <si>
    <t xml:space="preserve">99112</t>
  </si>
  <si>
    <t xml:space="preserve">99111</t>
  </si>
  <si>
    <t xml:space="preserve">99110</t>
  </si>
  <si>
    <t xml:space="preserve">98083</t>
  </si>
  <si>
    <t xml:space="preserve">Reflexion Desica</t>
  </si>
  <si>
    <t xml:space="preserve">100763</t>
  </si>
  <si>
    <t xml:space="preserve">Semivision CX200</t>
  </si>
  <si>
    <t xml:space="preserve">Inspection SEM</t>
  </si>
  <si>
    <t xml:space="preserve">98054</t>
  </si>
  <si>
    <t xml:space="preserve">SEMVISION CX</t>
  </si>
  <si>
    <t xml:space="preserve">Defect Review SEM</t>
  </si>
  <si>
    <t xml:space="preserve">99903</t>
  </si>
  <si>
    <t xml:space="preserve">Semvision CX</t>
  </si>
  <si>
    <t xml:space="preserve">97226</t>
  </si>
  <si>
    <t xml:space="preserve">SEMVISION G3</t>
  </si>
  <si>
    <t xml:space="preserve">100094</t>
  </si>
  <si>
    <t xml:space="preserve">SEMVision G3 Lite</t>
  </si>
  <si>
    <t xml:space="preserve">SEM - Defect Review (DR)</t>
  </si>
  <si>
    <t xml:space="preserve">98263</t>
  </si>
  <si>
    <t xml:space="preserve">ULTIMA X</t>
  </si>
  <si>
    <t xml:space="preserve">HDP</t>
  </si>
  <si>
    <t xml:space="preserve">99000</t>
  </si>
  <si>
    <t xml:space="preserve">UVISION7</t>
  </si>
  <si>
    <t xml:space="preserve">Brightfield Inspection</t>
  </si>
  <si>
    <t xml:space="preserve">96833</t>
  </si>
  <si>
    <t xml:space="preserve">Uvision 4</t>
  </si>
  <si>
    <t xml:space="preserve">96832</t>
  </si>
  <si>
    <t xml:space="preserve">98085</t>
  </si>
  <si>
    <t xml:space="preserve">UVision 5</t>
  </si>
  <si>
    <t xml:space="preserve">Brightfield UV Wafer Inspection System</t>
  </si>
  <si>
    <t xml:space="preserve">98084</t>
  </si>
  <si>
    <t xml:space="preserve">96831</t>
  </si>
  <si>
    <t xml:space="preserve">Uvision 200</t>
  </si>
  <si>
    <t xml:space="preserve">98264</t>
  </si>
  <si>
    <t xml:space="preserve">VANTAGE (Rediance 3.x)</t>
  </si>
  <si>
    <t xml:space="preserve">RTP</t>
  </si>
  <si>
    <t xml:space="preserve">100095</t>
  </si>
  <si>
    <t xml:space="preserve">VeritySEM 2</t>
  </si>
  <si>
    <t xml:space="preserve">SEM - Critical Dimension (CD) Measurement</t>
  </si>
  <si>
    <t xml:space="preserve">97576</t>
  </si>
  <si>
    <t xml:space="preserve">100671</t>
  </si>
  <si>
    <t xml:space="preserve">AR BROWN</t>
  </si>
  <si>
    <t xml:space="preserve">SM105MP</t>
  </si>
  <si>
    <t xml:space="preserve">Shock Test System</t>
  </si>
  <si>
    <t xml:space="preserve">RELIABILITY</t>
  </si>
  <si>
    <t xml:space="preserve">98857</t>
  </si>
  <si>
    <t xml:space="preserve">ASM</t>
  </si>
  <si>
    <t xml:space="preserve">A400 HT </t>
  </si>
  <si>
    <t xml:space="preserve">Vertical Furnace Oxide/Poly</t>
  </si>
  <si>
    <t xml:space="preserve">100764</t>
  </si>
  <si>
    <t xml:space="preserve">A400C</t>
  </si>
  <si>
    <t xml:space="preserve">Vertical Furnace Nitride</t>
  </si>
  <si>
    <t xml:space="preserve">100768</t>
  </si>
  <si>
    <t xml:space="preserve">A412</t>
  </si>
  <si>
    <t xml:space="preserve">Dual ATM Oxide (Dry Oxide)</t>
  </si>
  <si>
    <t xml:space="preserve">100767</t>
  </si>
  <si>
    <t xml:space="preserve">Dual Reactor Poly</t>
  </si>
  <si>
    <t xml:space="preserve">100765</t>
  </si>
  <si>
    <t xml:space="preserve">Nitride Dual Reactor</t>
  </si>
  <si>
    <t xml:space="preserve">100771</t>
  </si>
  <si>
    <t xml:space="preserve">Veritcal LPCVD Furnace (NITR)</t>
  </si>
  <si>
    <t xml:space="preserve">97580</t>
  </si>
  <si>
    <t xml:space="preserve">Vertical Atmospheric Furnace</t>
  </si>
  <si>
    <t xml:space="preserve">100769</t>
  </si>
  <si>
    <t xml:space="preserve">Vertical Atmospheric Furnance (ATMOXANNL)</t>
  </si>
  <si>
    <t xml:space="preserve">100770</t>
  </si>
  <si>
    <t xml:space="preserve">Vertical Atmospheric Furnance (Wet Oxide)</t>
  </si>
  <si>
    <t xml:space="preserve">98086</t>
  </si>
  <si>
    <t xml:space="preserve">Vertical Furnace</t>
  </si>
  <si>
    <t xml:space="preserve">100766</t>
  </si>
  <si>
    <t xml:space="preserve">Vertical LPCVD Furnace (Poly)</t>
  </si>
  <si>
    <t xml:space="preserve">100096</t>
  </si>
  <si>
    <t xml:space="preserve">A412 Doped Poly</t>
  </si>
  <si>
    <t xml:space="preserve">Vertical LPCVD Furnace</t>
  </si>
  <si>
    <t xml:space="preserve">97101</t>
  </si>
  <si>
    <t xml:space="preserve">AB599A</t>
  </si>
  <si>
    <t xml:space="preserve">Wedge Wire Bonder</t>
  </si>
  <si>
    <t xml:space="preserve">100626</t>
  </si>
  <si>
    <t xml:space="preserve">AD809A-03</t>
  </si>
  <si>
    <t xml:space="preserve">Die Bonder</t>
  </si>
  <si>
    <t xml:space="preserve">100627</t>
  </si>
  <si>
    <t xml:space="preserve">AD809C-00</t>
  </si>
  <si>
    <t xml:space="preserve">100628</t>
  </si>
  <si>
    <t xml:space="preserve">AD809S-00</t>
  </si>
  <si>
    <t xml:space="preserve">99550</t>
  </si>
  <si>
    <t xml:space="preserve">AD830</t>
  </si>
  <si>
    <t xml:space="preserve">97904</t>
  </si>
  <si>
    <t xml:space="preserve">DIE BONDER</t>
  </si>
  <si>
    <t xml:space="preserve">ASSEMBLY</t>
  </si>
  <si>
    <t xml:space="preserve">97905</t>
  </si>
  <si>
    <t xml:space="preserve">AD838</t>
  </si>
  <si>
    <t xml:space="preserve">100845</t>
  </si>
  <si>
    <t xml:space="preserve">AD838L</t>
  </si>
  <si>
    <t xml:space="preserve">Epoxy Die Bonder</t>
  </si>
  <si>
    <t xml:space="preserve">100844</t>
  </si>
  <si>
    <t xml:space="preserve">100843</t>
  </si>
  <si>
    <t xml:space="preserve">97102</t>
  </si>
  <si>
    <t xml:space="preserve">AS899</t>
  </si>
  <si>
    <t xml:space="preserve">Pick and Place Die Bonder</t>
  </si>
  <si>
    <t xml:space="preserve">100847</t>
  </si>
  <si>
    <t xml:space="preserve">Eagle Express GoCu</t>
  </si>
  <si>
    <t xml:space="preserve">Ball Bonder</t>
  </si>
  <si>
    <t xml:space="preserve">100846</t>
  </si>
  <si>
    <t xml:space="preserve">97585</t>
  </si>
  <si>
    <t xml:space="preserve">Eagle XP</t>
  </si>
  <si>
    <t xml:space="preserve">97583</t>
  </si>
  <si>
    <t xml:space="preserve">97582</t>
  </si>
  <si>
    <t xml:space="preserve">97581</t>
  </si>
  <si>
    <t xml:space="preserve">96836</t>
  </si>
  <si>
    <t xml:space="preserve">Eagle XP EmerALD</t>
  </si>
  <si>
    <t xml:space="preserve">ALD (Atomic Layer Deposition)</t>
  </si>
  <si>
    <t xml:space="preserve">98089</t>
  </si>
  <si>
    <t xml:space="preserve">Eagle12</t>
  </si>
  <si>
    <t xml:space="preserve">98088</t>
  </si>
  <si>
    <t xml:space="preserve">Eagle XP8</t>
  </si>
  <si>
    <t xml:space="preserve">98087</t>
  </si>
  <si>
    <t xml:space="preserve">100772</t>
  </si>
  <si>
    <t xml:space="preserve">Eagle-12 Rapidfire</t>
  </si>
  <si>
    <t xml:space="preserve">100098</t>
  </si>
  <si>
    <t xml:space="preserve">100097</t>
  </si>
  <si>
    <t xml:space="preserve">97604</t>
  </si>
  <si>
    <t xml:space="preserve">97603</t>
  </si>
  <si>
    <t xml:space="preserve">97602</t>
  </si>
  <si>
    <t xml:space="preserve">97601</t>
  </si>
  <si>
    <t xml:space="preserve">97600</t>
  </si>
  <si>
    <t xml:space="preserve">97599</t>
  </si>
  <si>
    <t xml:space="preserve">97598</t>
  </si>
  <si>
    <t xml:space="preserve">97594</t>
  </si>
  <si>
    <t xml:space="preserve">97593</t>
  </si>
  <si>
    <t xml:space="preserve">97592</t>
  </si>
  <si>
    <t xml:space="preserve">97591</t>
  </si>
  <si>
    <t xml:space="preserve">97590</t>
  </si>
  <si>
    <t xml:space="preserve">97589</t>
  </si>
  <si>
    <t xml:space="preserve">97588</t>
  </si>
  <si>
    <t xml:space="preserve">97587</t>
  </si>
  <si>
    <t xml:space="preserve">97586</t>
  </si>
  <si>
    <t xml:space="preserve">99302</t>
  </si>
  <si>
    <t xml:space="preserve">Epsilon 3200</t>
  </si>
  <si>
    <t xml:space="preserve">GaAs Epitaxial Deposition</t>
  </si>
  <si>
    <t xml:space="preserve">99301</t>
  </si>
  <si>
    <t xml:space="preserve">100100</t>
  </si>
  <si>
    <t xml:space="preserve">Epsilon E3200</t>
  </si>
  <si>
    <t xml:space="preserve">100099</t>
  </si>
  <si>
    <t xml:space="preserve">100848</t>
  </si>
  <si>
    <t xml:space="preserve">Ideal Mold 3G</t>
  </si>
  <si>
    <t xml:space="preserve">Molding Machine</t>
  </si>
  <si>
    <t xml:space="preserve">97906</t>
  </si>
  <si>
    <t xml:space="preserve">iHawk Xtreme</t>
  </si>
  <si>
    <t xml:space="preserve">WIRE BONDER</t>
  </si>
  <si>
    <t xml:space="preserve">97907</t>
  </si>
  <si>
    <t xml:space="preserve">IS8912DA</t>
  </si>
  <si>
    <t xml:space="preserve">98443</t>
  </si>
  <si>
    <t xml:space="preserve">MS896</t>
  </si>
  <si>
    <t xml:space="preserve">LED sorter</t>
  </si>
  <si>
    <t xml:space="preserve">100mm</t>
  </si>
  <si>
    <t xml:space="preserve">99876</t>
  </si>
  <si>
    <t xml:space="preserve">Siplace CA4</t>
  </si>
  <si>
    <t xml:space="preserve">4 Folder High Volume Chip Assembly System</t>
  </si>
  <si>
    <t xml:space="preserve">98444</t>
  </si>
  <si>
    <t xml:space="preserve">WS896</t>
  </si>
  <si>
    <t xml:space="preserve">98558</t>
  </si>
  <si>
    <t xml:space="preserve">X1020</t>
  </si>
  <si>
    <t xml:space="preserve">UNDER FILL DISPENSER</t>
  </si>
  <si>
    <t xml:space="preserve">97187</t>
  </si>
  <si>
    <t xml:space="preserve">ASM </t>
  </si>
  <si>
    <t xml:space="preserve">Si place TX2i</t>
  </si>
  <si>
    <t xml:space="preserve">Pick and Placer</t>
  </si>
  <si>
    <t xml:space="preserve">99118</t>
  </si>
  <si>
    <t xml:space="preserve">ASM International</t>
  </si>
  <si>
    <t xml:space="preserve">98090</t>
  </si>
  <si>
    <t xml:space="preserve">ASML</t>
  </si>
  <si>
    <t xml:space="preserve">AT850</t>
  </si>
  <si>
    <t xml:space="preserve">KrF Lithography Scanner</t>
  </si>
  <si>
    <t xml:space="preserve">98804</t>
  </si>
  <si>
    <t xml:space="preserve">AT850C</t>
  </si>
  <si>
    <t xml:space="preserve">98091</t>
  </si>
  <si>
    <t xml:space="preserve">AT850T</t>
  </si>
  <si>
    <t xml:space="preserve">99287</t>
  </si>
  <si>
    <t xml:space="preserve">PAS 5500 / 400C</t>
  </si>
  <si>
    <t xml:space="preserve">i-line scanner</t>
  </si>
  <si>
    <t xml:space="preserve">98265</t>
  </si>
  <si>
    <t xml:space="preserve">XT760F</t>
  </si>
  <si>
    <t xml:space="preserve">DUV Scanner</t>
  </si>
  <si>
    <t xml:space="preserve">98093</t>
  </si>
  <si>
    <t xml:space="preserve">100024</t>
  </si>
  <si>
    <t xml:space="preserve">XT1400E</t>
  </si>
  <si>
    <t xml:space="preserve">DUV Lithography Exposure System</t>
  </si>
  <si>
    <t xml:space="preserve">1 month</t>
  </si>
  <si>
    <t xml:space="preserve">100023</t>
  </si>
  <si>
    <t xml:space="preserve">100022</t>
  </si>
  <si>
    <t xml:space="preserve">98092</t>
  </si>
  <si>
    <t xml:space="preserve">XT1400F</t>
  </si>
  <si>
    <t xml:space="preserve">97046</t>
  </si>
  <si>
    <t xml:space="preserve">Yeldstar S-100</t>
  </si>
  <si>
    <t xml:space="preserve">Advanced Process Control / Yield Opimization System</t>
  </si>
  <si>
    <t xml:space="preserve">98559</t>
  </si>
  <si>
    <t xml:space="preserve">Yieldstar S1250D</t>
  </si>
  <si>
    <t xml:space="preserve">Overlay Measurement</t>
  </si>
  <si>
    <t xml:space="preserve">98568</t>
  </si>
  <si>
    <t xml:space="preserve">Assembleon</t>
  </si>
  <si>
    <t xml:space="preserve">TOPAZ X2 CM</t>
  </si>
  <si>
    <t xml:space="preserve">Chip Mounter</t>
  </si>
  <si>
    <t xml:space="preserve">98567</t>
  </si>
  <si>
    <t xml:space="preserve">98566</t>
  </si>
  <si>
    <t xml:space="preserve">98565</t>
  </si>
  <si>
    <t xml:space="preserve">98564</t>
  </si>
  <si>
    <t xml:space="preserve">98563</t>
  </si>
  <si>
    <t xml:space="preserve">98562</t>
  </si>
  <si>
    <t xml:space="preserve">98561</t>
  </si>
  <si>
    <t xml:space="preserve">98560</t>
  </si>
  <si>
    <t xml:space="preserve">98376</t>
  </si>
  <si>
    <t xml:space="preserve">Asymtek </t>
  </si>
  <si>
    <t xml:space="preserve">MH912L</t>
  </si>
  <si>
    <t xml:space="preserve">Material Handler - Left side</t>
  </si>
  <si>
    <t xml:space="preserve">98377</t>
  </si>
  <si>
    <t xml:space="preserve">MH912R</t>
  </si>
  <si>
    <t xml:space="preserve">Material Handler - Right side</t>
  </si>
  <si>
    <t xml:space="preserve">98445</t>
  </si>
  <si>
    <t xml:space="preserve">LPI 2200</t>
  </si>
  <si>
    <t xml:space="preserve">SMIF  loader</t>
  </si>
  <si>
    <t xml:space="preserve">98446</t>
  </si>
  <si>
    <t xml:space="preserve">LPT 2200</t>
  </si>
  <si>
    <t xml:space="preserve">98447</t>
  </si>
  <si>
    <t xml:space="preserve">August</t>
  </si>
  <si>
    <t xml:space="preserve">3DI-8000</t>
  </si>
  <si>
    <t xml:space="preserve">wafer inspection</t>
  </si>
  <si>
    <t xml:space="preserve">99331</t>
  </si>
  <si>
    <t xml:space="preserve">NSX SR8220-019</t>
  </si>
  <si>
    <t xml:space="preserve">THIN WAFER Loader</t>
  </si>
  <si>
    <t xml:space="preserve">98448</t>
  </si>
  <si>
    <t xml:space="preserve">NSX-95</t>
  </si>
  <si>
    <t xml:space="preserve">2D Auto inspection system</t>
  </si>
  <si>
    <t xml:space="preserve">97894</t>
  </si>
  <si>
    <t xml:space="preserve">August Strecker</t>
  </si>
  <si>
    <t xml:space="preserve">VM-00F-ST</t>
  </si>
  <si>
    <t xml:space="preserve">Thin wire electrical joint welding machine with microprocessor unit</t>
  </si>
  <si>
    <t xml:space="preserve">100347</t>
  </si>
  <si>
    <t xml:space="preserve">Autec</t>
  </si>
  <si>
    <t xml:space="preserve">ATC-70B-RS</t>
  </si>
  <si>
    <t xml:space="preserve">Thermal Shock Tester</t>
  </si>
  <si>
    <t xml:space="preserve">99053</t>
  </si>
  <si>
    <t xml:space="preserve">Aviza Technology</t>
  </si>
  <si>
    <t xml:space="preserve">RVP300</t>
  </si>
  <si>
    <t xml:space="preserve">Vertical Diffusion Furnace</t>
  </si>
  <si>
    <t xml:space="preserve">98266</t>
  </si>
  <si>
    <t xml:space="preserve">AXCELIS</t>
  </si>
  <si>
    <t xml:space="preserve">FUSION 200 MCU</t>
  </si>
  <si>
    <t xml:space="preserve">Asher</t>
  </si>
  <si>
    <t xml:space="preserve">98212</t>
  </si>
  <si>
    <t xml:space="preserve">Axcelis</t>
  </si>
  <si>
    <t xml:space="preserve">Fusion PCU 200</t>
  </si>
  <si>
    <t xml:space="preserve">Photoresist Stabilizer</t>
  </si>
  <si>
    <t xml:space="preserve">100849</t>
  </si>
  <si>
    <t xml:space="preserve">Fusion PS3</t>
  </si>
  <si>
    <t xml:space="preserve">UV Bake, dual chamber</t>
  </si>
  <si>
    <t xml:space="preserve">99305</t>
  </si>
  <si>
    <t xml:space="preserve">UV Cure System  2 CH UV Bake</t>
  </si>
  <si>
    <t xml:space="preserve">99306</t>
  </si>
  <si>
    <t xml:space="preserve">NV GSD 200E</t>
  </si>
  <si>
    <t xml:space="preserve">Medium Current Ion Implanter, 180 KV</t>
  </si>
  <si>
    <t xml:space="preserve">99378</t>
  </si>
  <si>
    <t xml:space="preserve">NV-GSD-200E2</t>
  </si>
  <si>
    <t xml:space="preserve">Medium Current Ion Implanter</t>
  </si>
  <si>
    <t xml:space="preserve">100101</t>
  </si>
  <si>
    <t xml:space="preserve">NV-GSD-HE3</t>
  </si>
  <si>
    <t xml:space="preserve">High Energy Implanter</t>
  </si>
  <si>
    <t xml:space="preserve">99945</t>
  </si>
  <si>
    <t xml:space="preserve">Optima HD</t>
  </si>
  <si>
    <t xml:space="preserve">98569</t>
  </si>
  <si>
    <t xml:space="preserve">OPTIMA HD</t>
  </si>
  <si>
    <t xml:space="preserve">98094</t>
  </si>
  <si>
    <t xml:space="preserve">98805</t>
  </si>
  <si>
    <t xml:space="preserve">OPTIMA-HD</t>
  </si>
  <si>
    <t xml:space="preserve">Implanter</t>
  </si>
  <si>
    <t xml:space="preserve">99911</t>
  </si>
  <si>
    <t xml:space="preserve">PARADIGM</t>
  </si>
  <si>
    <t xml:space="preserve">98095</t>
  </si>
  <si>
    <t xml:space="preserve">Paradigm XE</t>
  </si>
  <si>
    <t xml:space="preserve">HIGH ENERGY IMPLANTER</t>
  </si>
  <si>
    <t xml:space="preserve">98868</t>
  </si>
  <si>
    <t xml:space="preserve">PARADIGM-XE</t>
  </si>
  <si>
    <t xml:space="preserve">98806</t>
  </si>
  <si>
    <t xml:space="preserve">98096</t>
  </si>
  <si>
    <t xml:space="preserve">RapidCure 320FC</t>
  </si>
  <si>
    <t xml:space="preserve">RPC</t>
  </si>
  <si>
    <t xml:space="preserve">100107</t>
  </si>
  <si>
    <t xml:space="preserve">RapidStrip 320</t>
  </si>
  <si>
    <t xml:space="preserve">Stripper/Asher</t>
  </si>
  <si>
    <t xml:space="preserve">100106</t>
  </si>
  <si>
    <t xml:space="preserve">100105</t>
  </si>
  <si>
    <t xml:space="preserve">100104</t>
  </si>
  <si>
    <t xml:space="preserve">100103</t>
  </si>
  <si>
    <t xml:space="preserve">100102</t>
  </si>
  <si>
    <t xml:space="preserve">97066</t>
  </si>
  <si>
    <t xml:space="preserve">Ultra HC3</t>
  </si>
  <si>
    <t xml:space="preserve">98310</t>
  </si>
  <si>
    <t xml:space="preserve">Axcelis / Eaton</t>
  </si>
  <si>
    <t xml:space="preserve">GSD200E</t>
  </si>
  <si>
    <t xml:space="preserve">Medium Current Implanter</t>
  </si>
  <si>
    <t xml:space="preserve">98331</t>
  </si>
  <si>
    <t xml:space="preserve">AXCELIS / FUSION</t>
  </si>
  <si>
    <t xml:space="preserve">M200 PC</t>
  </si>
  <si>
    <t xml:space="preserve">UV BAKE</t>
  </si>
  <si>
    <t xml:space="preserve">98708</t>
  </si>
  <si>
    <t xml:space="preserve">Furnace 1</t>
  </si>
  <si>
    <t xml:space="preserve">Drying Furnace</t>
  </si>
  <si>
    <t xml:space="preserve">98709</t>
  </si>
  <si>
    <t xml:space="preserve">Furnace 2</t>
  </si>
  <si>
    <t xml:space="preserve">98710</t>
  </si>
  <si>
    <t xml:space="preserve">Test 1</t>
  </si>
  <si>
    <t xml:space="preserve">Solar Cell Inspection</t>
  </si>
  <si>
    <t xml:space="preserve">98711</t>
  </si>
  <si>
    <t xml:space="preserve">Test 2</t>
  </si>
  <si>
    <t xml:space="preserve">Icos Solar Cell Inspection</t>
  </si>
  <si>
    <t xml:space="preserve">98712</t>
  </si>
  <si>
    <t xml:space="preserve">Test 3 </t>
  </si>
  <si>
    <t xml:space="preserve">Automatic Cell Sorter</t>
  </si>
  <si>
    <t xml:space="preserve">98713</t>
  </si>
  <si>
    <t xml:space="preserve">Wafer Boats</t>
  </si>
  <si>
    <t xml:space="preserve">98715</t>
  </si>
  <si>
    <t xml:space="preserve">Baccini </t>
  </si>
  <si>
    <t xml:space="preserve">Printer 1</t>
  </si>
  <si>
    <t xml:space="preserve">Screen Printer</t>
  </si>
  <si>
    <t xml:space="preserve">98716</t>
  </si>
  <si>
    <t xml:space="preserve">Printer 2</t>
  </si>
  <si>
    <t xml:space="preserve">98717</t>
  </si>
  <si>
    <t xml:space="preserve">Printer 3</t>
  </si>
  <si>
    <t xml:space="preserve">100364</t>
  </si>
  <si>
    <t xml:space="preserve">Benteler Maschinenbau</t>
  </si>
  <si>
    <t xml:space="preserve">ESS</t>
  </si>
  <si>
    <t xml:space="preserve">Edge Sealing System</t>
  </si>
  <si>
    <t xml:space="preserve">missing parts</t>
  </si>
  <si>
    <t xml:space="preserve">100360</t>
  </si>
  <si>
    <t xml:space="preserve">FCS</t>
  </si>
  <si>
    <t xml:space="preserve">Foil cutting system / glass laying-up system</t>
  </si>
  <si>
    <t xml:space="preserve">100363</t>
  </si>
  <si>
    <t xml:space="preserve">MMI</t>
  </si>
  <si>
    <t xml:space="preserve">loading chain conveyor/Transportation system/rotation loading device/etc.</t>
  </si>
  <si>
    <t xml:space="preserve">98718</t>
  </si>
  <si>
    <t xml:space="preserve">Berger</t>
  </si>
  <si>
    <t xml:space="preserve">PSS10</t>
  </si>
  <si>
    <t xml:space="preserve">Pulsed Solar Simulator</t>
  </si>
  <si>
    <t xml:space="preserve">98378</t>
  </si>
  <si>
    <t xml:space="preserve">Bio Rad</t>
  </si>
  <si>
    <t xml:space="preserve">QS-408-M</t>
  </si>
  <si>
    <t xml:space="preserve">FTIR</t>
  </si>
  <si>
    <t xml:space="preserve">99405</t>
  </si>
  <si>
    <t xml:space="preserve">Bio-Rad</t>
  </si>
  <si>
    <t xml:space="preserve">Q5 (Upgrade to a Q6)</t>
  </si>
  <si>
    <t xml:space="preserve">Overlay Registration Tool</t>
  </si>
  <si>
    <t xml:space="preserve">up to 200 mm</t>
  </si>
  <si>
    <t xml:space="preserve">99406</t>
  </si>
  <si>
    <t xml:space="preserve">Q7/Q8</t>
  </si>
  <si>
    <t xml:space="preserve">Overlay metrology Tool</t>
  </si>
  <si>
    <t xml:space="preserve">150 mm-200 mm</t>
  </si>
  <si>
    <t xml:space="preserve">99408</t>
  </si>
  <si>
    <t xml:space="preserve">QS-300</t>
  </si>
  <si>
    <t xml:space="preserve">FT-IR Spectrometer for measurement of EPI films</t>
  </si>
  <si>
    <t xml:space="preserve">99409</t>
  </si>
  <si>
    <t xml:space="preserve">QS-408M</t>
  </si>
  <si>
    <t xml:space="preserve">Manual FT-IR Spectrometer</t>
  </si>
  <si>
    <t xml:space="preserve">100-200 mm</t>
  </si>
  <si>
    <t xml:space="preserve">99407</t>
  </si>
  <si>
    <t xml:space="preserve">QS-1200</t>
  </si>
  <si>
    <t xml:space="preserve">FT-IR Spectrometer</t>
  </si>
  <si>
    <t xml:space="preserve">97995</t>
  </si>
  <si>
    <t xml:space="preserve">Biorad</t>
  </si>
  <si>
    <t xml:space="preserve">Q5</t>
  </si>
  <si>
    <t xml:space="preserve">Overlay measurement system</t>
  </si>
  <si>
    <t xml:space="preserve">150mm</t>
  </si>
  <si>
    <t xml:space="preserve">97461</t>
  </si>
  <si>
    <t xml:space="preserve">Q200</t>
  </si>
  <si>
    <t xml:space="preserve">Overlay Measurement System</t>
  </si>
  <si>
    <t xml:space="preserve">100629</t>
  </si>
  <si>
    <t xml:space="preserve">Blazer</t>
  </si>
  <si>
    <t xml:space="preserve">LFC150</t>
  </si>
  <si>
    <t xml:space="preserve">Plasma Cleaner</t>
  </si>
  <si>
    <t xml:space="preserve">99549</t>
  </si>
  <si>
    <t xml:space="preserve">BRANSON/IPC</t>
  </si>
  <si>
    <t xml:space="preserve">S-3000</t>
  </si>
  <si>
    <t xml:space="preserve">Plasma Barrel Asher</t>
  </si>
  <si>
    <t xml:space="preserve">up to 5"</t>
  </si>
  <si>
    <t xml:space="preserve">98719</t>
  </si>
  <si>
    <t xml:space="preserve">Braun </t>
  </si>
  <si>
    <t xml:space="preserve">FWC 30/CW-LT</t>
  </si>
  <si>
    <t xml:space="preserve">99933</t>
  </si>
  <si>
    <t xml:space="preserve">BROOKS</t>
  </si>
  <si>
    <t xml:space="preserve">002-7391-08</t>
  </si>
  <si>
    <t xml:space="preserve">Brooks  Aligner</t>
  </si>
  <si>
    <t xml:space="preserve">99932</t>
  </si>
  <si>
    <t xml:space="preserve">Brooks Aligner</t>
  </si>
  <si>
    <t xml:space="preserve">99934</t>
  </si>
  <si>
    <t xml:space="preserve">002-9400-04</t>
  </si>
  <si>
    <t xml:space="preserve">Brooks Robot Controller</t>
  </si>
  <si>
    <t xml:space="preserve">99935</t>
  </si>
  <si>
    <t xml:space="preserve">017-0266-01</t>
  </si>
  <si>
    <t xml:space="preserve">Brooks Robot (Config No. 017-0950-01)</t>
  </si>
  <si>
    <t xml:space="preserve">99936</t>
  </si>
  <si>
    <t xml:space="preserve">017-0950-01</t>
  </si>
  <si>
    <t xml:space="preserve">Brooks Robot</t>
  </si>
  <si>
    <t xml:space="preserve">99931</t>
  </si>
  <si>
    <t xml:space="preserve">105151</t>
  </si>
  <si>
    <t xml:space="preserve">98451</t>
  </si>
  <si>
    <t xml:space="preserve">Brooks / PRI</t>
  </si>
  <si>
    <t xml:space="preserve">ATM 207</t>
  </si>
  <si>
    <t xml:space="preserve">single arm atmospheric wafer handling robot</t>
  </si>
  <si>
    <t xml:space="preserve">200/300mm</t>
  </si>
  <si>
    <t xml:space="preserve">98449</t>
  </si>
  <si>
    <t xml:space="preserve">Brooks PRI</t>
  </si>
  <si>
    <t xml:space="preserve">ABM 405</t>
  </si>
  <si>
    <t xml:space="preserve">98450</t>
  </si>
  <si>
    <t xml:space="preserve">ABM 407B</t>
  </si>
  <si>
    <t xml:space="preserve">98452</t>
  </si>
  <si>
    <t xml:space="preserve">ATM 307</t>
  </si>
  <si>
    <t xml:space="preserve">98453</t>
  </si>
  <si>
    <t xml:space="preserve">DBM 2406</t>
  </si>
  <si>
    <t xml:space="preserve">Dual arm Atmospheric wafer handling robot</t>
  </si>
  <si>
    <t xml:space="preserve">98454</t>
  </si>
  <si>
    <t xml:space="preserve">DBM 2407</t>
  </si>
  <si>
    <t xml:space="preserve">98455</t>
  </si>
  <si>
    <t xml:space="preserve">Mag 7 ( for LAM etching )</t>
  </si>
  <si>
    <t xml:space="preserve">vacuum robot 002-1600-07</t>
  </si>
  <si>
    <t xml:space="preserve">98456</t>
  </si>
  <si>
    <t xml:space="preserve">Mag 8</t>
  </si>
  <si>
    <t xml:space="preserve">vacuum robot( AMAT Producer GT)</t>
  </si>
  <si>
    <t xml:space="preserve">98457</t>
  </si>
  <si>
    <t xml:space="preserve">PRE 200/200B</t>
  </si>
  <si>
    <t xml:space="preserve">wafer pre-aligner</t>
  </si>
  <si>
    <t xml:space="preserve">98458</t>
  </si>
  <si>
    <t xml:space="preserve">PRE 300/300B</t>
  </si>
  <si>
    <t xml:space="preserve">98855</t>
  </si>
  <si>
    <t xml:space="preserve">Bruker</t>
  </si>
  <si>
    <t xml:space="preserve">D8 Advance</t>
  </si>
  <si>
    <t xml:space="preserve">X-ray Diffraction System</t>
  </si>
  <si>
    <t xml:space="preserve">98851</t>
  </si>
  <si>
    <t xml:space="preserve">D8 Fabline</t>
  </si>
  <si>
    <t xml:space="preserve">X-ray Diffractometer</t>
  </si>
  <si>
    <t xml:space="preserve">150 mm / 200 mm</t>
  </si>
  <si>
    <t xml:space="preserve">97850</t>
  </si>
  <si>
    <t xml:space="preserve">DEKTAK-8ADP</t>
  </si>
  <si>
    <t xml:space="preserve">Scan Profiler</t>
  </si>
  <si>
    <t xml:space="preserve">98379</t>
  </si>
  <si>
    <t xml:space="preserve">C&amp;D</t>
  </si>
  <si>
    <t xml:space="preserve">8800</t>
  </si>
  <si>
    <t xml:space="preserve">RTP Metal Alloy Anneal Station</t>
  </si>
  <si>
    <t xml:space="preserve">150/200 mm</t>
  </si>
  <si>
    <t xml:space="preserve">100630</t>
  </si>
  <si>
    <t xml:space="preserve">Camalot</t>
  </si>
  <si>
    <t xml:space="preserve">3800</t>
  </si>
  <si>
    <t xml:space="preserve">Dispenser</t>
  </si>
  <si>
    <t xml:space="preserve">100631</t>
  </si>
  <si>
    <t xml:space="preserve">5000</t>
  </si>
  <si>
    <t xml:space="preserve">98786</t>
  </si>
  <si>
    <t xml:space="preserve">CAMALOT</t>
  </si>
  <si>
    <t xml:space="preserve">FX-D</t>
  </si>
  <si>
    <t xml:space="preserve">Fluid Dispenser</t>
  </si>
  <si>
    <t xml:space="preserve">100108</t>
  </si>
  <si>
    <t xml:space="preserve">Cambridge Nanotech</t>
  </si>
  <si>
    <t xml:space="preserve">Savannah S200</t>
  </si>
  <si>
    <t xml:space="preserve">ALD (Atomic Layer Deposition) for laboratory use</t>
  </si>
  <si>
    <t xml:space="preserve">96843</t>
  </si>
  <si>
    <t xml:space="preserve">CAMECA</t>
  </si>
  <si>
    <t xml:space="preserve">EX-300</t>
  </si>
  <si>
    <t xml:space="preserve">Implant Dosing Measurement</t>
  </si>
  <si>
    <t xml:space="preserve">98505</t>
  </si>
  <si>
    <t xml:space="preserve">APT-5800</t>
  </si>
  <si>
    <t xml:space="preserve">AP CVD</t>
  </si>
  <si>
    <t xml:space="preserve">98504</t>
  </si>
  <si>
    <t xml:space="preserve">98503</t>
  </si>
  <si>
    <t xml:space="preserve">98502</t>
  </si>
  <si>
    <t xml:space="preserve">100632</t>
  </si>
  <si>
    <t xml:space="preserve">Bestem D02</t>
  </si>
  <si>
    <t xml:space="preserve">98703</t>
  </si>
  <si>
    <t xml:space="preserve">BG3-3868-000</t>
  </si>
  <si>
    <t xml:space="preserve">MBD Unit (Masking Blade Driver) for Canon FPA5000ES2/ES2+ </t>
  </si>
  <si>
    <t xml:space="preserve">97454</t>
  </si>
  <si>
    <t xml:space="preserve">FPA 3000 EX4</t>
  </si>
  <si>
    <t xml:space="preserve">DUV SCANNER, 248 NM KrF</t>
  </si>
  <si>
    <t xml:space="preserve">97052</t>
  </si>
  <si>
    <t xml:space="preserve">FPA 5510 iZ</t>
  </si>
  <si>
    <t xml:space="preserve">i-line stepper</t>
  </si>
  <si>
    <t xml:space="preserve">99883</t>
  </si>
  <si>
    <t xml:space="preserve">FPA-5000 ES2/ES2+</t>
  </si>
  <si>
    <t xml:space="preserve">99884</t>
  </si>
  <si>
    <t xml:space="preserve">FPA-5000 ES3</t>
  </si>
  <si>
    <t xml:space="preserve">98100</t>
  </si>
  <si>
    <t xml:space="preserve">FPA-5500iZ</t>
  </si>
  <si>
    <t xml:space="preserve">I-Line Stepper</t>
  </si>
  <si>
    <t xml:space="preserve">98099</t>
  </si>
  <si>
    <t xml:space="preserve">98098</t>
  </si>
  <si>
    <t xml:space="preserve">98097</t>
  </si>
  <si>
    <t xml:space="preserve">98101</t>
  </si>
  <si>
    <t xml:space="preserve">FPA-5500iZ+</t>
  </si>
  <si>
    <t xml:space="preserve">99848</t>
  </si>
  <si>
    <t xml:space="preserve">FPA-5500iZa</t>
  </si>
  <si>
    <t xml:space="preserve">98102</t>
  </si>
  <si>
    <t xml:space="preserve">FPA-6000ES6a</t>
  </si>
  <si>
    <t xml:space="preserve">KrF, 90nm capable exposure system</t>
  </si>
  <si>
    <t xml:space="preserve">97996</t>
  </si>
  <si>
    <t xml:space="preserve">CANON</t>
  </si>
  <si>
    <t xml:space="preserve">MAS-8220</t>
  </si>
  <si>
    <t xml:space="preserve">100723</t>
  </si>
  <si>
    <t xml:space="preserve">PLA501</t>
  </si>
  <si>
    <t xml:space="preserve">Contact and Prossimity Mask Aligner</t>
  </si>
  <si>
    <t xml:space="preserve">100110</t>
  </si>
  <si>
    <t xml:space="preserve">Surpass 320</t>
  </si>
  <si>
    <t xml:space="preserve">100109</t>
  </si>
  <si>
    <t xml:space="preserve">96846</t>
  </si>
  <si>
    <t xml:space="preserve">96845</t>
  </si>
  <si>
    <t xml:space="preserve">96844</t>
  </si>
  <si>
    <t xml:space="preserve">98267</t>
  </si>
  <si>
    <t xml:space="preserve">CASCADE</t>
  </si>
  <si>
    <t xml:space="preserve">PM8 </t>
  </si>
  <si>
    <t xml:space="preserve">98231</t>
  </si>
  <si>
    <t xml:space="preserve">Cascade</t>
  </si>
  <si>
    <t xml:space="preserve">REL-4800</t>
  </si>
  <si>
    <t xml:space="preserve">98232</t>
  </si>
  <si>
    <t xml:space="preserve">REL-5500</t>
  </si>
  <si>
    <t xml:space="preserve">99002</t>
  </si>
  <si>
    <t xml:space="preserve">S200</t>
  </si>
  <si>
    <t xml:space="preserve">100724</t>
  </si>
  <si>
    <t xml:space="preserve">CDN Plus</t>
  </si>
  <si>
    <t xml:space="preserve">CIE-4D02(04)-C</t>
  </si>
  <si>
    <t xml:space="preserve">4D Spin Developer</t>
  </si>
  <si>
    <t xml:space="preserve">98720</t>
  </si>
  <si>
    <t xml:space="preserve">DO-FF-8600-300</t>
  </si>
  <si>
    <t xml:space="preserve">Fast Firing Furnace</t>
  </si>
  <si>
    <t xml:space="preserve">98721</t>
  </si>
  <si>
    <t xml:space="preserve">E 2000 HT 300-4</t>
  </si>
  <si>
    <t xml:space="preserve">Diffusion Furnace</t>
  </si>
  <si>
    <t xml:space="preserve">98722</t>
  </si>
  <si>
    <t xml:space="preserve">E 2000 HT 320-4</t>
  </si>
  <si>
    <t xml:space="preserve">98723</t>
  </si>
  <si>
    <t xml:space="preserve">Gas Box</t>
  </si>
  <si>
    <t xml:space="preserve">Auto Refill System</t>
  </si>
  <si>
    <t xml:space="preserve">98725</t>
  </si>
  <si>
    <t xml:space="preserve">Loader</t>
  </si>
  <si>
    <t xml:space="preserve">Furnace Loader</t>
  </si>
  <si>
    <t xml:space="preserve">98906</t>
  </si>
  <si>
    <t xml:space="preserve">CHEMWEST</t>
  </si>
  <si>
    <t xml:space="preserve">420410</t>
  </si>
  <si>
    <t xml:space="preserve">Planar Filter Change Sink</t>
  </si>
  <si>
    <t xml:space="preserve">100701</t>
  </si>
  <si>
    <t xml:space="preserve">Climats</t>
  </si>
  <si>
    <t xml:space="preserve">EXCAL 7728 HE</t>
  </si>
  <si>
    <t xml:space="preserve">Environmental Test Chamber</t>
  </si>
  <si>
    <t xml:space="preserve">99958</t>
  </si>
  <si>
    <t xml:space="preserve">COMMONWEALTH SCIENTIFIC</t>
  </si>
  <si>
    <t xml:space="preserve">Sputter System</t>
  </si>
  <si>
    <t xml:space="preserve">Sputter System with Intlvac Processor</t>
  </si>
  <si>
    <t xml:space="preserve">100026</t>
  </si>
  <si>
    <t xml:space="preserve">SMT (Surface Mount Technology)</t>
  </si>
  <si>
    <t xml:space="preserve">Production Line</t>
  </si>
  <si>
    <t xml:space="preserve">100021</t>
  </si>
  <si>
    <t xml:space="preserve">100865</t>
  </si>
  <si>
    <t xml:space="preserve">Solar Cell and Panel</t>
  </si>
  <si>
    <t xml:space="preserve">Crystalline Production Line for Sale</t>
  </si>
  <si>
    <t xml:space="preserve">99395</t>
  </si>
  <si>
    <t xml:space="preserve">Convac</t>
  </si>
  <si>
    <t xml:space="preserve">CBA-M-2000-U</t>
  </si>
  <si>
    <t xml:space="preserve">Photoresist coater</t>
  </si>
  <si>
    <t xml:space="preserve">98787</t>
  </si>
  <si>
    <t xml:space="preserve">Conveyor 1</t>
  </si>
  <si>
    <t xml:space="preserve">Conveyor</t>
  </si>
  <si>
    <t xml:space="preserve">98788</t>
  </si>
  <si>
    <t xml:space="preserve">Conveyor 2</t>
  </si>
  <si>
    <t xml:space="preserve">98789</t>
  </si>
  <si>
    <t xml:space="preserve">Conveyor 3</t>
  </si>
  <si>
    <t xml:space="preserve">100725</t>
  </si>
  <si>
    <t xml:space="preserve">Corial</t>
  </si>
  <si>
    <t xml:space="preserve">300IL</t>
  </si>
  <si>
    <t xml:space="preserve">ICP Dry Etcher</t>
  </si>
  <si>
    <t xml:space="preserve">97048</t>
  </si>
  <si>
    <t xml:space="preserve">CPA</t>
  </si>
  <si>
    <t xml:space="preserve">9900</t>
  </si>
  <si>
    <t xml:space="preserve">Sputterer</t>
  </si>
  <si>
    <t xml:space="preserve">3 months</t>
  </si>
  <si>
    <t xml:space="preserve">100672</t>
  </si>
  <si>
    <t xml:space="preserve">CREDENCE</t>
  </si>
  <si>
    <t xml:space="preserve">KALOS2-HEX</t>
  </si>
  <si>
    <t xml:space="preserve">100673</t>
  </si>
  <si>
    <t xml:space="preserve">Quartet</t>
  </si>
  <si>
    <t xml:space="preserve">98028</t>
  </si>
  <si>
    <t xml:space="preserve">QUARTET ONE</t>
  </si>
  <si>
    <t xml:space="preserve">98507</t>
  </si>
  <si>
    <t xml:space="preserve">Trillium Deltamaster</t>
  </si>
  <si>
    <t xml:space="preserve">TESTER, 256 pin, 2 Meg DPMY,</t>
  </si>
  <si>
    <t xml:space="preserve">98224</t>
  </si>
  <si>
    <t xml:space="preserve">Credence </t>
  </si>
  <si>
    <t xml:space="preserve">Quartet One Plus</t>
  </si>
  <si>
    <t xml:space="preserve">98907</t>
  </si>
  <si>
    <t xml:space="preserve">CREST ULTRASONICS</t>
  </si>
  <si>
    <t xml:space="preserve">MACS-25-US-IMP</t>
  </si>
  <si>
    <t xml:space="preserve">Cleaner</t>
  </si>
  <si>
    <t xml:space="preserve">98380</t>
  </si>
  <si>
    <t xml:space="preserve">CVC </t>
  </si>
  <si>
    <t xml:space="preserve">SO-5000-6</t>
  </si>
  <si>
    <t xml:space="preserve">Thermal Evaporator</t>
  </si>
  <si>
    <t xml:space="preserve">99059</t>
  </si>
  <si>
    <t xml:space="preserve">CVD Equipment Corporation</t>
  </si>
  <si>
    <t xml:space="preserve">Easy Tube 3000</t>
  </si>
  <si>
    <t xml:space="preserve">CVD SYSTEM WITH GLOVE BOX</t>
  </si>
  <si>
    <t xml:space="preserve">100341</t>
  </si>
  <si>
    <t xml:space="preserve">Cymer</t>
  </si>
  <si>
    <t xml:space="preserve">XLA240</t>
  </si>
  <si>
    <t xml:space="preserve">193 nm cymer laser</t>
  </si>
  <si>
    <t xml:space="preserve">98215</t>
  </si>
  <si>
    <t xml:space="preserve">XLA 165</t>
  </si>
  <si>
    <t xml:space="preserve">193 NM excimer laser</t>
  </si>
  <si>
    <t xml:space="preserve">98216</t>
  </si>
  <si>
    <t xml:space="preserve">XLR 640 ix</t>
  </si>
  <si>
    <t xml:space="preserve">97909</t>
  </si>
  <si>
    <t xml:space="preserve">DAGE</t>
  </si>
  <si>
    <t xml:space="preserve">2400A</t>
  </si>
  <si>
    <t xml:space="preserve">PULL TESTER</t>
  </si>
  <si>
    <t xml:space="preserve">99410</t>
  </si>
  <si>
    <t xml:space="preserve">Dage</t>
  </si>
  <si>
    <t xml:space="preserve">2400PC</t>
  </si>
  <si>
    <t xml:space="preserve">Wire Pull Tester with die shear load cell</t>
  </si>
  <si>
    <t xml:space="preserve">98571</t>
  </si>
  <si>
    <t xml:space="preserve">4000</t>
  </si>
  <si>
    <t xml:space="preserve">BOND TESTER</t>
  </si>
  <si>
    <t xml:space="preserve">98381</t>
  </si>
  <si>
    <t xml:space="preserve">Bond Tester</t>
  </si>
  <si>
    <t xml:space="preserve">97908</t>
  </si>
  <si>
    <t xml:space="preserve">98570</t>
  </si>
  <si>
    <t xml:space="preserve">4000PXY</t>
  </si>
  <si>
    <t xml:space="preserve">BALL SHEAR TESTER</t>
  </si>
  <si>
    <t xml:space="preserve">99411</t>
  </si>
  <si>
    <t xml:space="preserve">BT23</t>
  </si>
  <si>
    <t xml:space="preserve">Die Shear Tester</t>
  </si>
  <si>
    <t xml:space="preserve">99412</t>
  </si>
  <si>
    <t xml:space="preserve">MCT 22</t>
  </si>
  <si>
    <t xml:space="preserve">Wire Bond Pull Tester</t>
  </si>
  <si>
    <t xml:space="preserve">100726</t>
  </si>
  <si>
    <t xml:space="preserve">Daitron</t>
  </si>
  <si>
    <t xml:space="preserve">DSC-100CV</t>
  </si>
  <si>
    <t xml:space="preserve">Scrubber</t>
  </si>
  <si>
    <t xml:space="preserve">100727</t>
  </si>
  <si>
    <t xml:space="preserve">WBM-2200</t>
  </si>
  <si>
    <t xml:space="preserve">Wafer Edge Grinding Machine</t>
  </si>
  <si>
    <t xml:space="preserve">100633</t>
  </si>
  <si>
    <t xml:space="preserve">Datacon</t>
  </si>
  <si>
    <t xml:space="preserve">2200APM</t>
  </si>
  <si>
    <t xml:space="preserve">Single Head Multi Chip Die Bonder</t>
  </si>
  <si>
    <t xml:space="preserve">100634</t>
  </si>
  <si>
    <t xml:space="preserve">2210PPS</t>
  </si>
  <si>
    <t xml:space="preserve">98790</t>
  </si>
  <si>
    <t xml:space="preserve">DEK </t>
  </si>
  <si>
    <t xml:space="preserve">JABILi</t>
  </si>
  <si>
    <t xml:space="preserve">Paste Printer</t>
  </si>
  <si>
    <t xml:space="preserve">96847</t>
  </si>
  <si>
    <t xml:space="preserve">Delta Design</t>
  </si>
  <si>
    <t xml:space="preserve">1688-ES</t>
  </si>
  <si>
    <t xml:space="preserve">Pick &amp; Place SOC Handler</t>
  </si>
  <si>
    <t xml:space="preserve">100113</t>
  </si>
  <si>
    <t xml:space="preserve">Pyramid</t>
  </si>
  <si>
    <t xml:space="preserve">100112</t>
  </si>
  <si>
    <t xml:space="preserve">100111</t>
  </si>
  <si>
    <t xml:space="preserve">99136</t>
  </si>
  <si>
    <t xml:space="preserve">100728</t>
  </si>
  <si>
    <t xml:space="preserve">Delta Tech.</t>
  </si>
  <si>
    <t xml:space="preserve">GM SSR AX-PC/GM-1D</t>
  </si>
  <si>
    <t xml:space="preserve">X-Ray</t>
  </si>
  <si>
    <t xml:space="preserve">100702</t>
  </si>
  <si>
    <t xml:space="preserve">Delvotec</t>
  </si>
  <si>
    <t xml:space="preserve">5410</t>
  </si>
  <si>
    <t xml:space="preserve">Wire Bonder</t>
  </si>
  <si>
    <t xml:space="preserve">98908</t>
  </si>
  <si>
    <t xml:space="preserve">DESPATCH</t>
  </si>
  <si>
    <t xml:space="preserve">CRB49244222S3RS</t>
  </si>
  <si>
    <t xml:space="preserve">Oven</t>
  </si>
  <si>
    <t xml:space="preserve">99284</t>
  </si>
  <si>
    <t xml:space="preserve">Despatch</t>
  </si>
  <si>
    <t xml:space="preserve">DF14414-10</t>
  </si>
  <si>
    <t xml:space="preserve">Inline Diffusion / Oxidation Furnace</t>
  </si>
  <si>
    <t xml:space="preserve">99282</t>
  </si>
  <si>
    <t xml:space="preserve">DF14414-10NS</t>
  </si>
  <si>
    <t xml:space="preserve">Solar Oven</t>
  </si>
  <si>
    <t xml:space="preserve">97851</t>
  </si>
  <si>
    <t xml:space="preserve">Digital Electronics</t>
  </si>
  <si>
    <t xml:space="preserve">DRP-9503DU</t>
  </si>
  <si>
    <t xml:space="preserve">100635</t>
  </si>
  <si>
    <t xml:space="preserve">Disco</t>
  </si>
  <si>
    <t xml:space="preserve">DAD2H6T</t>
  </si>
  <si>
    <t xml:space="preserve">Dicing Saw</t>
  </si>
  <si>
    <t xml:space="preserve">100636</t>
  </si>
  <si>
    <t xml:space="preserve">DAD320</t>
  </si>
  <si>
    <t xml:space="preserve">98528</t>
  </si>
  <si>
    <t xml:space="preserve">100715</t>
  </si>
  <si>
    <t xml:space="preserve">DAD522</t>
  </si>
  <si>
    <t xml:space="preserve">DICING SAW</t>
  </si>
  <si>
    <t xml:space="preserve">97444</t>
  </si>
  <si>
    <t xml:space="preserve">DAD3350</t>
  </si>
  <si>
    <t xml:space="preserve">Dicing saw</t>
  </si>
  <si>
    <t xml:space="preserve">100637</t>
  </si>
  <si>
    <t xml:space="preserve">DAD6450</t>
  </si>
  <si>
    <t xml:space="preserve">Dicing Saw + Hanmi 3000</t>
  </si>
  <si>
    <t xml:space="preserve">96991</t>
  </si>
  <si>
    <t xml:space="preserve">DAD 321</t>
  </si>
  <si>
    <t xml:space="preserve">Wafer Dicing Saw</t>
  </si>
  <si>
    <t xml:space="preserve">15 0mm</t>
  </si>
  <si>
    <t xml:space="preserve">98382</t>
  </si>
  <si>
    <t xml:space="preserve">DAD 3220</t>
  </si>
  <si>
    <t xml:space="preserve">6" Automatic Dicing Saw</t>
  </si>
  <si>
    <t xml:space="preserve">99548</t>
  </si>
  <si>
    <t xml:space="preserve">DAG 810</t>
  </si>
  <si>
    <t xml:space="preserve">R and D wafer lapping system</t>
  </si>
  <si>
    <t xml:space="preserve">100638</t>
  </si>
  <si>
    <t xml:space="preserve">DFD620</t>
  </si>
  <si>
    <t xml:space="preserve">97912</t>
  </si>
  <si>
    <t xml:space="preserve">DISCO</t>
  </si>
  <si>
    <t xml:space="preserve">DFD640</t>
  </si>
  <si>
    <t xml:space="preserve">100639</t>
  </si>
  <si>
    <t xml:space="preserve">DFD681</t>
  </si>
  <si>
    <t xml:space="preserve">97910</t>
  </si>
  <si>
    <t xml:space="preserve">DFD6360</t>
  </si>
  <si>
    <t xml:space="preserve">100853</t>
  </si>
  <si>
    <t xml:space="preserve">DFD 6340</t>
  </si>
  <si>
    <t xml:space="preserve">99849</t>
  </si>
  <si>
    <t xml:space="preserve">DFG 840</t>
  </si>
  <si>
    <t xml:space="preserve">Wafer Back Grinder</t>
  </si>
  <si>
    <t xml:space="preserve">99980</t>
  </si>
  <si>
    <t xml:space="preserve">DFG 841</t>
  </si>
  <si>
    <t xml:space="preserve">Grinder</t>
  </si>
  <si>
    <t xml:space="preserve">99850</t>
  </si>
  <si>
    <t xml:space="preserve">Wafer Grinder</t>
  </si>
  <si>
    <t xml:space="preserve">97913</t>
  </si>
  <si>
    <t xml:space="preserve">DFL7160</t>
  </si>
  <si>
    <t xml:space="preserve">Low-k Grooving Saw</t>
  </si>
  <si>
    <t xml:space="preserve">100114</t>
  </si>
  <si>
    <t xml:space="preserve">DFL7361</t>
  </si>
  <si>
    <t xml:space="preserve">Laser Saw</t>
  </si>
  <si>
    <t xml:space="preserve">100703</t>
  </si>
  <si>
    <t xml:space="preserve">DFL 7161</t>
  </si>
  <si>
    <t xml:space="preserve">150mm/300mm</t>
  </si>
  <si>
    <t xml:space="preserve">97914</t>
  </si>
  <si>
    <t xml:space="preserve">DTU151</t>
  </si>
  <si>
    <t xml:space="preserve">CHILLER</t>
  </si>
  <si>
    <t xml:space="preserve">97915</t>
  </si>
  <si>
    <t xml:space="preserve">DTU1531</t>
  </si>
  <si>
    <t xml:space="preserve">98387</t>
  </si>
  <si>
    <t xml:space="preserve">Disco </t>
  </si>
  <si>
    <t xml:space="preserve">DAD-2H/6</t>
  </si>
  <si>
    <t xml:space="preserve">98103</t>
  </si>
  <si>
    <t xml:space="preserve">DNS</t>
  </si>
  <si>
    <t xml:space="preserve">80B</t>
  </si>
  <si>
    <t xml:space="preserve">DUV  track</t>
  </si>
  <si>
    <t xml:space="preserve">98104</t>
  </si>
  <si>
    <t xml:space="preserve">DUV track</t>
  </si>
  <si>
    <t xml:space="preserve">100776</t>
  </si>
  <si>
    <t xml:space="preserve">FC821L</t>
  </si>
  <si>
    <t xml:space="preserve">Wet Bench</t>
  </si>
  <si>
    <t xml:space="preserve">100775</t>
  </si>
  <si>
    <t xml:space="preserve">100774</t>
  </si>
  <si>
    <t xml:space="preserve">100116</t>
  </si>
  <si>
    <t xml:space="preserve">FC-3000</t>
  </si>
  <si>
    <t xml:space="preserve">Batch Wafer Processing</t>
  </si>
  <si>
    <t xml:space="preserve">100115</t>
  </si>
  <si>
    <t xml:space="preserve">100773</t>
  </si>
  <si>
    <t xml:space="preserve">FC-3100</t>
  </si>
  <si>
    <t xml:space="preserve">98572</t>
  </si>
  <si>
    <t xml:space="preserve">RF3S</t>
  </si>
  <si>
    <t xml:space="preserve">Interface block of photoresist track</t>
  </si>
  <si>
    <t xml:space="preserve">100850</t>
  </si>
  <si>
    <t xml:space="preserve">SC-80BW-AV</t>
  </si>
  <si>
    <t xml:space="preserve">Coater</t>
  </si>
  <si>
    <t xml:space="preserve">100851</t>
  </si>
  <si>
    <t xml:space="preserve">SD-80BW-AVP</t>
  </si>
  <si>
    <t xml:space="preserve">100852</t>
  </si>
  <si>
    <t xml:space="preserve">SD-80BW-AVPE</t>
  </si>
  <si>
    <t xml:space="preserve">97998</t>
  </si>
  <si>
    <t xml:space="preserve">SK-80BW-BVQ</t>
  </si>
  <si>
    <t xml:space="preserve">Track coater/developer</t>
  </si>
  <si>
    <t xml:space="preserve">98459</t>
  </si>
  <si>
    <t xml:space="preserve">SK-2000</t>
  </si>
  <si>
    <t xml:space="preserve">coater and developer</t>
  </si>
  <si>
    <t xml:space="preserve">10</t>
  </si>
  <si>
    <t xml:space="preserve">99981</t>
  </si>
  <si>
    <t xml:space="preserve">SS3000AR</t>
  </si>
  <si>
    <t xml:space="preserve">Spin Scrubber</t>
  </si>
  <si>
    <t xml:space="preserve">98807</t>
  </si>
  <si>
    <t xml:space="preserve">SS3100</t>
  </si>
  <si>
    <t xml:space="preserve">100117</t>
  </si>
  <si>
    <t xml:space="preserve">SS-3000</t>
  </si>
  <si>
    <t xml:space="preserve">Wafer Scrubber</t>
  </si>
  <si>
    <t xml:space="preserve">99134</t>
  </si>
  <si>
    <t xml:space="preserve">99133</t>
  </si>
  <si>
    <t xml:space="preserve">99132</t>
  </si>
  <si>
    <t xml:space="preserve">98268</t>
  </si>
  <si>
    <t xml:space="preserve">SS-3100</t>
  </si>
  <si>
    <t xml:space="preserve">WET Scrubber</t>
  </si>
  <si>
    <t xml:space="preserve">99982</t>
  </si>
  <si>
    <t xml:space="preserve">SSW80AR</t>
  </si>
  <si>
    <t xml:space="preserve">99983</t>
  </si>
  <si>
    <t xml:space="preserve">SSW80AVR</t>
  </si>
  <si>
    <t xml:space="preserve">100119</t>
  </si>
  <si>
    <t xml:space="preserve">SU-3000</t>
  </si>
  <si>
    <t xml:space="preserve">Single Wafer Processing</t>
  </si>
  <si>
    <t xml:space="preserve">100118</t>
  </si>
  <si>
    <t xml:space="preserve">97611</t>
  </si>
  <si>
    <t xml:space="preserve">98106</t>
  </si>
  <si>
    <t xml:space="preserve">SU-3100</t>
  </si>
  <si>
    <t xml:space="preserve">Wafer Cleaning System</t>
  </si>
  <si>
    <t xml:space="preserve">98105</t>
  </si>
  <si>
    <t xml:space="preserve">100777</t>
  </si>
  <si>
    <t xml:space="preserve">96967</t>
  </si>
  <si>
    <t xml:space="preserve">WS 820C</t>
  </si>
  <si>
    <t xml:space="preserve">WET Etching Bench</t>
  </si>
  <si>
    <t xml:space="preserve">98107</t>
  </si>
  <si>
    <t xml:space="preserve">WS-820L</t>
  </si>
  <si>
    <t xml:space="preserve">WET</t>
  </si>
  <si>
    <t xml:space="preserve">100778</t>
  </si>
  <si>
    <t xml:space="preserve">Donaldson</t>
  </si>
  <si>
    <t xml:space="preserve">Litho Guard P198020</t>
  </si>
  <si>
    <t xml:space="preserve">FilterUnit for TEL ACT8/12</t>
  </si>
  <si>
    <t xml:space="preserve">100357</t>
  </si>
  <si>
    <t xml:space="preserve">Dr Schenk</t>
  </si>
  <si>
    <t xml:space="preserve">AOI</t>
  </si>
  <si>
    <t xml:space="preserve">glass panel inspection system</t>
  </si>
  <si>
    <t xml:space="preserve">97916</t>
  </si>
  <si>
    <t xml:space="preserve">DYNA TECH</t>
  </si>
  <si>
    <t xml:space="preserve">DT-ECS-2030</t>
  </si>
  <si>
    <t xml:space="preserve">LAMINATOR</t>
  </si>
  <si>
    <t xml:space="preserve">100718</t>
  </si>
  <si>
    <t xml:space="preserve">Dynatech</t>
  </si>
  <si>
    <t xml:space="preserve">DT-AWM1500</t>
  </si>
  <si>
    <t xml:space="preserve">TAPE MOUNTER</t>
  </si>
  <si>
    <t xml:space="preserve">99413</t>
  </si>
  <si>
    <t xml:space="preserve">Dynatex</t>
  </si>
  <si>
    <t xml:space="preserve">DX III</t>
  </si>
  <si>
    <t xml:space="preserve">Wafer Scriber/Breaker</t>
  </si>
  <si>
    <t xml:space="preserve">97888</t>
  </si>
  <si>
    <t xml:space="preserve">EAGLE Test Systems</t>
  </si>
  <si>
    <t xml:space="preserve">APU-10</t>
  </si>
  <si>
    <t xml:space="preserve">30</t>
  </si>
  <si>
    <t xml:space="preserve">97889</t>
  </si>
  <si>
    <t xml:space="preserve">SPU-100</t>
  </si>
  <si>
    <t xml:space="preserve">98574</t>
  </si>
  <si>
    <t xml:space="preserve">A70W STANDARD</t>
  </si>
  <si>
    <t xml:space="preserve">DRY Pump</t>
  </si>
  <si>
    <t xml:space="preserve">98573</t>
  </si>
  <si>
    <t xml:space="preserve">100127</t>
  </si>
  <si>
    <t xml:space="preserve">AA200W</t>
  </si>
  <si>
    <t xml:space="preserve">100126</t>
  </si>
  <si>
    <t xml:space="preserve">100125</t>
  </si>
  <si>
    <t xml:space="preserve">100124</t>
  </si>
  <si>
    <t xml:space="preserve">100123</t>
  </si>
  <si>
    <t xml:space="preserve">100122</t>
  </si>
  <si>
    <t xml:space="preserve">100121</t>
  </si>
  <si>
    <t xml:space="preserve">100120</t>
  </si>
  <si>
    <t xml:space="preserve">100128</t>
  </si>
  <si>
    <t xml:space="preserve">ESA25-D</t>
  </si>
  <si>
    <t xml:space="preserve">98108</t>
  </si>
  <si>
    <t xml:space="preserve">EBARA</t>
  </si>
  <si>
    <t xml:space="preserve">F-REX200</t>
  </si>
  <si>
    <t xml:space="preserve">CMP, Chemical Mechanical Polish</t>
  </si>
  <si>
    <t xml:space="preserve">98111</t>
  </si>
  <si>
    <t xml:space="preserve">F-REX300S</t>
  </si>
  <si>
    <t xml:space="preserve">98110</t>
  </si>
  <si>
    <t xml:space="preserve">98109</t>
  </si>
  <si>
    <t xml:space="preserve">98461</t>
  </si>
  <si>
    <t xml:space="preserve">Frex 300</t>
  </si>
  <si>
    <t xml:space="preserve">STI CMP ( missing front end robot and load port)</t>
  </si>
  <si>
    <t xml:space="preserve">98460</t>
  </si>
  <si>
    <t xml:space="preserve">W CMP</t>
  </si>
  <si>
    <t xml:space="preserve">100674</t>
  </si>
  <si>
    <t xml:space="preserve">ECI</t>
  </si>
  <si>
    <t xml:space="preserve">QLC-7500</t>
  </si>
  <si>
    <t xml:space="preserve">Chemical Monitoring Systems</t>
  </si>
  <si>
    <t xml:space="preserve">97852</t>
  </si>
  <si>
    <t xml:space="preserve">ED Laboratory</t>
  </si>
  <si>
    <t xml:space="preserve">ED-330</t>
  </si>
  <si>
    <t xml:space="preserve">100132</t>
  </si>
  <si>
    <t xml:space="preserve">EPX180LE</t>
  </si>
  <si>
    <t xml:space="preserve">100131</t>
  </si>
  <si>
    <t xml:space="preserve">100130</t>
  </si>
  <si>
    <t xml:space="preserve">100129</t>
  </si>
  <si>
    <t xml:space="preserve">100133</t>
  </si>
  <si>
    <t xml:space="preserve">EPX180N</t>
  </si>
  <si>
    <t xml:space="preserve">96851</t>
  </si>
  <si>
    <t xml:space="preserve">98575</t>
  </si>
  <si>
    <t xml:space="preserve">ESDP12</t>
  </si>
  <si>
    <t xml:space="preserve">100135</t>
  </si>
  <si>
    <t xml:space="preserve">HMB3000</t>
  </si>
  <si>
    <t xml:space="preserve">Booster of dry pump</t>
  </si>
  <si>
    <t xml:space="preserve">100134</t>
  </si>
  <si>
    <t xml:space="preserve">98060</t>
  </si>
  <si>
    <t xml:space="preserve">EDWARDS</t>
  </si>
  <si>
    <t xml:space="preserve">iGX100L</t>
  </si>
  <si>
    <t xml:space="preserve">98596</t>
  </si>
  <si>
    <t xml:space="preserve">IH80</t>
  </si>
  <si>
    <t xml:space="preserve">98597</t>
  </si>
  <si>
    <t xml:space="preserve">IH80 NEW LK</t>
  </si>
  <si>
    <t xml:space="preserve">97083</t>
  </si>
  <si>
    <t xml:space="preserve">ih600 Mk5</t>
  </si>
  <si>
    <t xml:space="preserve">Vacuum pump</t>
  </si>
  <si>
    <t xml:space="preserve">98595</t>
  </si>
  <si>
    <t xml:space="preserve">IH600 NEW LK</t>
  </si>
  <si>
    <t xml:space="preserve">98594</t>
  </si>
  <si>
    <t xml:space="preserve">98593</t>
  </si>
  <si>
    <t xml:space="preserve">98592</t>
  </si>
  <si>
    <t xml:space="preserve">98591</t>
  </si>
  <si>
    <t xml:space="preserve">100136</t>
  </si>
  <si>
    <t xml:space="preserve">iH1000</t>
  </si>
  <si>
    <t xml:space="preserve">98578</t>
  </si>
  <si>
    <t xml:space="preserve">IH1000 MK5 LDS</t>
  </si>
  <si>
    <t xml:space="preserve">98577</t>
  </si>
  <si>
    <t xml:space="preserve">98576</t>
  </si>
  <si>
    <t xml:space="preserve">98610</t>
  </si>
  <si>
    <t xml:space="preserve">IH1000 NEW LK</t>
  </si>
  <si>
    <t xml:space="preserve">98609</t>
  </si>
  <si>
    <t xml:space="preserve">98590</t>
  </si>
  <si>
    <t xml:space="preserve">98589</t>
  </si>
  <si>
    <t xml:space="preserve">98588</t>
  </si>
  <si>
    <t xml:space="preserve">98587</t>
  </si>
  <si>
    <t xml:space="preserve">98586</t>
  </si>
  <si>
    <t xml:space="preserve">98585</t>
  </si>
  <si>
    <t xml:space="preserve">98584</t>
  </si>
  <si>
    <t xml:space="preserve">98583</t>
  </si>
  <si>
    <t xml:space="preserve">98582</t>
  </si>
  <si>
    <t xml:space="preserve">98581</t>
  </si>
  <si>
    <t xml:space="preserve">98580</t>
  </si>
  <si>
    <t xml:space="preserve">98579</t>
  </si>
  <si>
    <t xml:space="preserve">100137</t>
  </si>
  <si>
    <t xml:space="preserve">iH1000SC</t>
  </si>
  <si>
    <t xml:space="preserve">100140</t>
  </si>
  <si>
    <t xml:space="preserve">IH1800</t>
  </si>
  <si>
    <t xml:space="preserve">100139</t>
  </si>
  <si>
    <t xml:space="preserve">100138</t>
  </si>
  <si>
    <t xml:space="preserve">96855</t>
  </si>
  <si>
    <t xml:space="preserve">98388</t>
  </si>
  <si>
    <t xml:space="preserve">iH-1000</t>
  </si>
  <si>
    <t xml:space="preserve">100146</t>
  </si>
  <si>
    <t xml:space="preserve">iL70</t>
  </si>
  <si>
    <t xml:space="preserve">100145</t>
  </si>
  <si>
    <t xml:space="preserve">100144</t>
  </si>
  <si>
    <t xml:space="preserve">100143</t>
  </si>
  <si>
    <t xml:space="preserve">100142</t>
  </si>
  <si>
    <t xml:space="preserve">100141</t>
  </si>
  <si>
    <t xml:space="preserve">98598</t>
  </si>
  <si>
    <t xml:space="preserve">IL70 NEW LK</t>
  </si>
  <si>
    <t xml:space="preserve">98601</t>
  </si>
  <si>
    <t xml:space="preserve">IPX100A</t>
  </si>
  <si>
    <t xml:space="preserve">98600</t>
  </si>
  <si>
    <t xml:space="preserve">98599</t>
  </si>
  <si>
    <t xml:space="preserve">100147</t>
  </si>
  <si>
    <t xml:space="preserve">iXH4550HT</t>
  </si>
  <si>
    <t xml:space="preserve">98059</t>
  </si>
  <si>
    <t xml:space="preserve">iXH-1820H</t>
  </si>
  <si>
    <t xml:space="preserve">100153</t>
  </si>
  <si>
    <t xml:space="preserve">PHX6000</t>
  </si>
  <si>
    <t xml:space="preserve">100152</t>
  </si>
  <si>
    <t xml:space="preserve">100151</t>
  </si>
  <si>
    <t xml:space="preserve">100150</t>
  </si>
  <si>
    <t xml:space="preserve">100149</t>
  </si>
  <si>
    <t xml:space="preserve">100148</t>
  </si>
  <si>
    <t xml:space="preserve">97845</t>
  </si>
  <si>
    <t xml:space="preserve">STP1003C</t>
  </si>
  <si>
    <t xml:space="preserve">Turbo Pump, (ISO 200K)</t>
  </si>
  <si>
    <t xml:space="preserve">98058</t>
  </si>
  <si>
    <t xml:space="preserve">STP-1003C</t>
  </si>
  <si>
    <t xml:space="preserve">Turbomolecular Pump</t>
  </si>
  <si>
    <t xml:space="preserve">97082</t>
  </si>
  <si>
    <t xml:space="preserve">Turbomolecular pump</t>
  </si>
  <si>
    <t xml:space="preserve">97081</t>
  </si>
  <si>
    <t xml:space="preserve">STP-XH2603P</t>
  </si>
  <si>
    <t xml:space="preserve">98909</t>
  </si>
  <si>
    <t xml:space="preserve">EEJA</t>
  </si>
  <si>
    <t xml:space="preserve">HIRATSUKA POSFER</t>
  </si>
  <si>
    <t xml:space="preserve">Plating System</t>
  </si>
  <si>
    <t xml:space="preserve">99310</t>
  </si>
  <si>
    <t xml:space="preserve">EKRA</t>
  </si>
  <si>
    <t xml:space="preserve"> X5</t>
  </si>
  <si>
    <t xml:space="preserve">Solder Paste Printer</t>
  </si>
  <si>
    <t xml:space="preserve">99309</t>
  </si>
  <si>
    <t xml:space="preserve">E4</t>
  </si>
  <si>
    <t xml:space="preserve">Solder Paste Printer </t>
  </si>
  <si>
    <t xml:space="preserve">98235</t>
  </si>
  <si>
    <t xml:space="preserve">2001X</t>
  </si>
  <si>
    <t xml:space="preserve">15</t>
  </si>
  <si>
    <t xml:space="preserve">99851</t>
  </si>
  <si>
    <t xml:space="preserve">2010CX</t>
  </si>
  <si>
    <t xml:space="preserve">98390</t>
  </si>
  <si>
    <t xml:space="preserve">98389</t>
  </si>
  <si>
    <t xml:space="preserve">2080</t>
  </si>
  <si>
    <t xml:space="preserve">98236</t>
  </si>
  <si>
    <t xml:space="preserve">2080X</t>
  </si>
  <si>
    <t xml:space="preserve">98237</t>
  </si>
  <si>
    <t xml:space="preserve">3001X</t>
  </si>
  <si>
    <t xml:space="preserve">98238</t>
  </si>
  <si>
    <t xml:space="preserve">4060</t>
  </si>
  <si>
    <t xml:space="preserve">98239</t>
  </si>
  <si>
    <t xml:space="preserve">4080</t>
  </si>
  <si>
    <t xml:space="preserve">98240</t>
  </si>
  <si>
    <t xml:space="preserve">4085</t>
  </si>
  <si>
    <t xml:space="preserve">98243</t>
  </si>
  <si>
    <t xml:space="preserve">4090FX</t>
  </si>
  <si>
    <t xml:space="preserve">98242</t>
  </si>
  <si>
    <t xml:space="preserve">4090u</t>
  </si>
  <si>
    <t xml:space="preserve">98241</t>
  </si>
  <si>
    <t xml:space="preserve">98244</t>
  </si>
  <si>
    <t xml:space="preserve">4090u+</t>
  </si>
  <si>
    <t xml:space="preserve">98391</t>
  </si>
  <si>
    <t xml:space="preserve">E2001CX</t>
  </si>
  <si>
    <t xml:space="preserve">98029</t>
  </si>
  <si>
    <t xml:space="preserve">ELECTROGLAS</t>
  </si>
  <si>
    <t xml:space="preserve">EG5/300E</t>
  </si>
  <si>
    <t xml:space="preserve">99984</t>
  </si>
  <si>
    <t xml:space="preserve">EG-4080X</t>
  </si>
  <si>
    <t xml:space="preserve">97890</t>
  </si>
  <si>
    <t xml:space="preserve">EO TECH</t>
  </si>
  <si>
    <t xml:space="preserve">BM-4364</t>
  </si>
  <si>
    <t xml:space="preserve">LASER MARKING</t>
  </si>
  <si>
    <t xml:space="preserve">100033</t>
  </si>
  <si>
    <t xml:space="preserve">BSM2424</t>
  </si>
  <si>
    <t xml:space="preserve">100640</t>
  </si>
  <si>
    <t xml:space="preserve">EO tech</t>
  </si>
  <si>
    <t xml:space="preserve">BSM 364</t>
  </si>
  <si>
    <t xml:space="preserve">Laser Marker</t>
  </si>
  <si>
    <t xml:space="preserve">98462</t>
  </si>
  <si>
    <t xml:space="preserve">EO Tech</t>
  </si>
  <si>
    <t xml:space="preserve">CSM 3000</t>
  </si>
  <si>
    <t xml:space="preserve">laser mark</t>
  </si>
  <si>
    <t xml:space="preserve">100855</t>
  </si>
  <si>
    <t xml:space="preserve">EO Technics</t>
  </si>
  <si>
    <t xml:space="preserve">BM364</t>
  </si>
  <si>
    <t xml:space="preserve">100854</t>
  </si>
  <si>
    <t xml:space="preserve">97920</t>
  </si>
  <si>
    <t xml:space="preserve">SLD-402</t>
  </si>
  <si>
    <t xml:space="preserve">97921</t>
  </si>
  <si>
    <t xml:space="preserve">SY-2002 + FS-1000</t>
  </si>
  <si>
    <t xml:space="preserve">LASER MARKING + HANDLER</t>
  </si>
  <si>
    <t xml:space="preserve">100154</t>
  </si>
  <si>
    <t xml:space="preserve">WTM200</t>
  </si>
  <si>
    <t xml:space="preserve">Laser Scribe</t>
  </si>
  <si>
    <t xml:space="preserve">99902</t>
  </si>
  <si>
    <t xml:space="preserve">Erdman</t>
  </si>
  <si>
    <t xml:space="preserve">3000 Auto Glazer</t>
  </si>
  <si>
    <t xml:space="preserve">Fully automated Glazer</t>
  </si>
  <si>
    <t xml:space="preserve">100641</t>
  </si>
  <si>
    <t xml:space="preserve">Esec</t>
  </si>
  <si>
    <t xml:space="preserve">2008XP</t>
  </si>
  <si>
    <t xml:space="preserve">100704</t>
  </si>
  <si>
    <t xml:space="preserve">ESEC</t>
  </si>
  <si>
    <t xml:space="preserve">3018</t>
  </si>
  <si>
    <t xml:space="preserve">Gold Ball Bonder</t>
  </si>
  <si>
    <t xml:space="preserve">100705</t>
  </si>
  <si>
    <t xml:space="preserve">3088</t>
  </si>
  <si>
    <t xml:space="preserve">100642</t>
  </si>
  <si>
    <t xml:space="preserve">CT2000</t>
  </si>
  <si>
    <t xml:space="preserve">Pick and Place</t>
  </si>
  <si>
    <t xml:space="preserve">99315</t>
  </si>
  <si>
    <t xml:space="preserve">ESEC3088</t>
  </si>
  <si>
    <t xml:space="preserve">99314</t>
  </si>
  <si>
    <t xml:space="preserve">ESEC 3006</t>
  </si>
  <si>
    <t xml:space="preserve">99313</t>
  </si>
  <si>
    <t xml:space="preserve">99312</t>
  </si>
  <si>
    <t xml:space="preserve">100856</t>
  </si>
  <si>
    <t xml:space="preserve">ESEC </t>
  </si>
  <si>
    <t xml:space="preserve">100643</t>
  </si>
  <si>
    <t xml:space="preserve">Esec  </t>
  </si>
  <si>
    <t xml:space="preserve">97181</t>
  </si>
  <si>
    <t xml:space="preserve">4990</t>
  </si>
  <si>
    <t xml:space="preserve">Laser Trim System</t>
  </si>
  <si>
    <t xml:space="preserve">100675</t>
  </si>
  <si>
    <t xml:space="preserve">HDE9830</t>
  </si>
  <si>
    <t xml:space="preserve">Laser Repair</t>
  </si>
  <si>
    <t xml:space="preserve">100156</t>
  </si>
  <si>
    <t xml:space="preserve">Espec</t>
  </si>
  <si>
    <t xml:space="preserve">IPHH-201</t>
  </si>
  <si>
    <t xml:space="preserve">Environmental Chamber</t>
  </si>
  <si>
    <t xml:space="preserve">100155</t>
  </si>
  <si>
    <t xml:space="preserve">98604</t>
  </si>
  <si>
    <t xml:space="preserve">EUGENE TECH</t>
  </si>
  <si>
    <t xml:space="preserve">BJM1000</t>
  </si>
  <si>
    <t xml:space="preserve">NITRIDE LP-CVD</t>
  </si>
  <si>
    <t xml:space="preserve">98603</t>
  </si>
  <si>
    <t xml:space="preserve">98602</t>
  </si>
  <si>
    <t xml:space="preserve">98030</t>
  </si>
  <si>
    <t xml:space="preserve">EVATEC	</t>
  </si>
  <si>
    <t xml:space="preserve">BK501</t>
  </si>
  <si>
    <t xml:space="preserve">98340</t>
  </si>
  <si>
    <t xml:space="preserve">EVG</t>
  </si>
  <si>
    <t xml:space="preserve">101</t>
  </si>
  <si>
    <t xml:space="preserve">Photoresist coater and developer</t>
  </si>
  <si>
    <t xml:space="preserve">99852</t>
  </si>
  <si>
    <t xml:space="preserve">620 BSA</t>
  </si>
  <si>
    <t xml:space="preserve">Double Side Mask Aligner</t>
  </si>
  <si>
    <t xml:space="preserve">97451</t>
  </si>
  <si>
    <t xml:space="preserve">820</t>
  </si>
  <si>
    <t xml:space="preserve">Dry Film Lamination System</t>
  </si>
  <si>
    <t xml:space="preserve">100055</t>
  </si>
  <si>
    <t xml:space="preserve">850TB L-200/150</t>
  </si>
  <si>
    <t xml:space="preserve">Production Bonding system</t>
  </si>
  <si>
    <t xml:space="preserve">99363</t>
  </si>
  <si>
    <t xml:space="preserve">Fairchild Convac</t>
  </si>
  <si>
    <t xml:space="preserve">Falcon</t>
  </si>
  <si>
    <t xml:space="preserve">Polyimide developer track 2D</t>
  </si>
  <si>
    <t xml:space="preserve">97047</t>
  </si>
  <si>
    <t xml:space="preserve">FEI</t>
  </si>
  <si>
    <t xml:space="preserve">EXPIDA DB 1255</t>
  </si>
  <si>
    <t xml:space="preserve">Dual Beam FIB SEM</t>
  </si>
  <si>
    <t xml:space="preserve">98114</t>
  </si>
  <si>
    <t xml:space="preserve">ExSolve 2 WTP EFEM</t>
  </si>
  <si>
    <t xml:space="preserve">High Accuracy FIB</t>
  </si>
  <si>
    <t xml:space="preserve">99400</t>
  </si>
  <si>
    <t xml:space="preserve">Quanta Inspect fp</t>
  </si>
  <si>
    <t xml:space="preserve">Tungsten filament SEM</t>
  </si>
  <si>
    <t xml:space="preserve">98055</t>
  </si>
  <si>
    <t xml:space="preserve">TECNAIG2 STWIN</t>
  </si>
  <si>
    <t xml:space="preserve">Transmission Electron Microscope</t>
  </si>
  <si>
    <t xml:space="preserve">98115</t>
  </si>
  <si>
    <t xml:space="preserve">TEM Tecnai G2 F20</t>
  </si>
  <si>
    <t xml:space="preserve">Transmission electron microscope</t>
  </si>
  <si>
    <t xml:space="preserve">99853</t>
  </si>
  <si>
    <t xml:space="preserve">XL40</t>
  </si>
  <si>
    <t xml:space="preserve">Cross Section SEM</t>
  </si>
  <si>
    <t xml:space="preserve">98205</t>
  </si>
  <si>
    <t xml:space="preserve">FEI </t>
  </si>
  <si>
    <t xml:space="preserve">Strata 400S</t>
  </si>
  <si>
    <t xml:space="preserve">FA SEMs/TEMs/Dual Beams</t>
  </si>
  <si>
    <t xml:space="preserve">100706</t>
  </si>
  <si>
    <t xml:space="preserve">Feutron</t>
  </si>
  <si>
    <t xml:space="preserve">KPK 200 Type 3423/16</t>
  </si>
  <si>
    <t xml:space="preserve">Climate Chamber</t>
  </si>
  <si>
    <t xml:space="preserve">99316</t>
  </si>
  <si>
    <t xml:space="preserve">FICO</t>
  </si>
  <si>
    <t xml:space="preserve">AMS-11-MR</t>
  </si>
  <si>
    <t xml:space="preserve">Molding</t>
  </si>
  <si>
    <t xml:space="preserve">99318</t>
  </si>
  <si>
    <t xml:space="preserve">AMS-11-MR </t>
  </si>
  <si>
    <t xml:space="preserve">99317</t>
  </si>
  <si>
    <t xml:space="preserve">99319</t>
  </si>
  <si>
    <t xml:space="preserve">AMS-11-MR2</t>
  </si>
  <si>
    <t xml:space="preserve">Multiplunger</t>
  </si>
  <si>
    <t xml:space="preserve">97924</t>
  </si>
  <si>
    <t xml:space="preserve">AMS-36-M</t>
  </si>
  <si>
    <t xml:space="preserve">Mold Press</t>
  </si>
  <si>
    <t xml:space="preserve">99320</t>
  </si>
  <si>
    <t xml:space="preserve">FICO </t>
  </si>
  <si>
    <t xml:space="preserve">99322</t>
  </si>
  <si>
    <t xml:space="preserve">Fico Besi</t>
  </si>
  <si>
    <t xml:space="preserve">Mold System</t>
  </si>
  <si>
    <t xml:space="preserve">99321</t>
  </si>
  <si>
    <t xml:space="preserve">97925</t>
  </si>
  <si>
    <t xml:space="preserve">Filmetrics</t>
  </si>
  <si>
    <t xml:space="preserve">F50</t>
  </si>
  <si>
    <t xml:space="preserve">UV Mapping Reflectometer</t>
  </si>
  <si>
    <t xml:space="preserve">97853</t>
  </si>
  <si>
    <t xml:space="preserve">Fluke</t>
  </si>
  <si>
    <t xml:space="preserve">PM5139</t>
  </si>
  <si>
    <t xml:space="preserve">Function Generator</t>
  </si>
  <si>
    <t xml:space="preserve">97077</t>
  </si>
  <si>
    <t xml:space="preserve">FUJITSU</t>
  </si>
  <si>
    <t xml:space="preserve">Smart-UPS RT - FJRT10KXLI</t>
  </si>
  <si>
    <t xml:space="preserve">UPS</t>
  </si>
  <si>
    <t xml:space="preserve">99986</t>
  </si>
  <si>
    <t xml:space="preserve">Fusion</t>
  </si>
  <si>
    <t xml:space="preserve">200ACU</t>
  </si>
  <si>
    <t xml:space="preserve">UV Curing</t>
  </si>
  <si>
    <t xml:space="preserve">99985</t>
  </si>
  <si>
    <t xml:space="preserve">98341</t>
  </si>
  <si>
    <t xml:space="preserve">GASONICS</t>
  </si>
  <si>
    <t xml:space="preserve">AURA 2000</t>
  </si>
  <si>
    <t xml:space="preserve">ASHER</t>
  </si>
  <si>
    <t xml:space="preserve">98342</t>
  </si>
  <si>
    <t xml:space="preserve">IRIDIA 4800 DL</t>
  </si>
  <si>
    <t xml:space="preserve">STRIPPER / ASHER</t>
  </si>
  <si>
    <t xml:space="preserve">98117</t>
  </si>
  <si>
    <t xml:space="preserve">Gasonics</t>
  </si>
  <si>
    <t xml:space="preserve">PEP Iridia</t>
  </si>
  <si>
    <t xml:space="preserve">98116</t>
  </si>
  <si>
    <t xml:space="preserve">99414</t>
  </si>
  <si>
    <t xml:space="preserve">GCA/Tropel</t>
  </si>
  <si>
    <t xml:space="preserve">9000</t>
  </si>
  <si>
    <t xml:space="preserve">Wafer Flatness Analyzer</t>
  </si>
  <si>
    <t xml:space="preserve">96796</t>
  </si>
  <si>
    <t xml:space="preserve">GEN 3.5</t>
  </si>
  <si>
    <t xml:space="preserve">Flat Panel Display Production Line</t>
  </si>
  <si>
    <t xml:space="preserve">Gen 3.5</t>
  </si>
  <si>
    <t xml:space="preserve">98463</t>
  </si>
  <si>
    <t xml:space="preserve">Genmark</t>
  </si>
  <si>
    <t xml:space="preserve">GB4/3L</t>
  </si>
  <si>
    <t xml:space="preserve">atmospheric wafer handling robot</t>
  </si>
  <si>
    <t xml:space="preserve">98464</t>
  </si>
  <si>
    <t xml:space="preserve">GB8-MT-80050102</t>
  </si>
  <si>
    <t xml:space="preserve">99854</t>
  </si>
  <si>
    <t xml:space="preserve">Gigaphoton</t>
  </si>
  <si>
    <t xml:space="preserve">GT42A4</t>
  </si>
  <si>
    <t xml:space="preserve">Laser System</t>
  </si>
  <si>
    <t xml:space="preserve">98317</t>
  </si>
  <si>
    <t xml:space="preserve">GT60A4</t>
  </si>
  <si>
    <t xml:space="preserve">97857</t>
  </si>
  <si>
    <t xml:space="preserve">GW Instek</t>
  </si>
  <si>
    <t xml:space="preserve">GPC-3030D</t>
  </si>
  <si>
    <t xml:space="preserve">97856</t>
  </si>
  <si>
    <t xml:space="preserve">97855</t>
  </si>
  <si>
    <t xml:space="preserve">97854</t>
  </si>
  <si>
    <t xml:space="preserve">97858</t>
  </si>
  <si>
    <t xml:space="preserve">GPC-3030DQ</t>
  </si>
  <si>
    <t xml:space="preserve">98606</t>
  </si>
  <si>
    <t xml:space="preserve">HAMAMATSU</t>
  </si>
  <si>
    <t xml:space="preserve">THEMOS-1000</t>
  </si>
  <si>
    <t xml:space="preserve">THERMAL EMISSION MICROSCOPE SYSTEM</t>
  </si>
  <si>
    <t xml:space="preserve">97196</t>
  </si>
  <si>
    <t xml:space="preserve">Hanhwa </t>
  </si>
  <si>
    <t xml:space="preserve">SM320</t>
  </si>
  <si>
    <t xml:space="preserve">97197</t>
  </si>
  <si>
    <t xml:space="preserve">SM320 </t>
  </si>
  <si>
    <t xml:space="preserve">97928</t>
  </si>
  <si>
    <t xml:space="preserve">HANRA</t>
  </si>
  <si>
    <t xml:space="preserve">HRI-580L</t>
  </si>
  <si>
    <t xml:space="preserve">INSPECTION SYSTEM</t>
  </si>
  <si>
    <t xml:space="preserve">99957</t>
  </si>
  <si>
    <t xml:space="preserve">Heidelberg</t>
  </si>
  <si>
    <t xml:space="preserve">CD 74 - 5 + LX</t>
  </si>
  <si>
    <t xml:space="preserve">Printing Press</t>
  </si>
  <si>
    <t xml:space="preserve">98534</t>
  </si>
  <si>
    <t xml:space="preserve">SM 52 - 5P</t>
  </si>
  <si>
    <t xml:space="preserve">99274</t>
  </si>
  <si>
    <t xml:space="preserve">SM 52-5</t>
  </si>
  <si>
    <t xml:space="preserve">98535</t>
  </si>
  <si>
    <t xml:space="preserve">SM 74 - 4 PH + L</t>
  </si>
  <si>
    <t xml:space="preserve">98536</t>
  </si>
  <si>
    <t xml:space="preserve">SM 74 - 5 PH</t>
  </si>
  <si>
    <t xml:space="preserve">98537</t>
  </si>
  <si>
    <t xml:space="preserve">SM 74 - 5 PH + L</t>
  </si>
  <si>
    <t xml:space="preserve">98538</t>
  </si>
  <si>
    <t xml:space="preserve">SM 74 - 6 PH</t>
  </si>
  <si>
    <t xml:space="preserve">98539</t>
  </si>
  <si>
    <t xml:space="preserve">SM 74 – 2 - P</t>
  </si>
  <si>
    <t xml:space="preserve">97110</t>
  </si>
  <si>
    <t xml:space="preserve">Speedmaster SX 74 – 4</t>
  </si>
  <si>
    <t xml:space="preserve">PRINTING EQUIPMENT</t>
  </si>
  <si>
    <t xml:space="preserve">97452</t>
  </si>
  <si>
    <t xml:space="preserve">Speedmaster XL 75-6+LX (F)</t>
  </si>
  <si>
    <t xml:space="preserve">Printing Equipment</t>
  </si>
  <si>
    <t xml:space="preserve">99286</t>
  </si>
  <si>
    <t xml:space="preserve">XL 105 - 4 + LX</t>
  </si>
  <si>
    <t xml:space="preserve">98541</t>
  </si>
  <si>
    <t xml:space="preserve">97111</t>
  </si>
  <si>
    <t xml:space="preserve">Heidelberg </t>
  </si>
  <si>
    <t xml:space="preserve">MOV-S</t>
  </si>
  <si>
    <t xml:space="preserve">97114</t>
  </si>
  <si>
    <t xml:space="preserve">Speedmaster 102-ZP (2 + 0 / 1 + 1)</t>
  </si>
  <si>
    <t xml:space="preserve">97119</t>
  </si>
  <si>
    <t xml:space="preserve">Speedmaster CD74 –6P+LX (6 +0 / 2 + 4) F Format</t>
  </si>
  <si>
    <t xml:space="preserve">97115</t>
  </si>
  <si>
    <t xml:space="preserve">Speedmaster CD 74–5+LX (C Format)</t>
  </si>
  <si>
    <t xml:space="preserve">97116</t>
  </si>
  <si>
    <t xml:space="preserve">Speedmaster CD 74–8P (C Format)</t>
  </si>
  <si>
    <t xml:space="preserve">97087</t>
  </si>
  <si>
    <t xml:space="preserve">Speedmaster CD 102 – 5+LX</t>
  </si>
  <si>
    <t xml:space="preserve">97089</t>
  </si>
  <si>
    <t xml:space="preserve">Speedmaster CD 102–4</t>
  </si>
  <si>
    <t xml:space="preserve">97139</t>
  </si>
  <si>
    <t xml:space="preserve">Speedmaster SM74 - 10P (10 + 0 / 5 + 5)</t>
  </si>
  <si>
    <t xml:space="preserve">97090</t>
  </si>
  <si>
    <t xml:space="preserve">Speedmaster SM102 - 6P (6 + 0 / 2 + 4)</t>
  </si>
  <si>
    <t xml:space="preserve">97088</t>
  </si>
  <si>
    <t xml:space="preserve">Speedmaster SM102 - 8P (8 + 0 / 4 + 4)</t>
  </si>
  <si>
    <t xml:space="preserve">97138</t>
  </si>
  <si>
    <t xml:space="preserve">Speedmaster SM102 – 5PP (5 + 0 / 1 + 4 / 2+3 )</t>
  </si>
  <si>
    <t xml:space="preserve">99836</t>
  </si>
  <si>
    <t xml:space="preserve">Speedmaster SM 52 - 4 </t>
  </si>
  <si>
    <t xml:space="preserve">97120</t>
  </si>
  <si>
    <t xml:space="preserve">Speedmaster SM 52 – 2 SE</t>
  </si>
  <si>
    <t xml:space="preserve">97122</t>
  </si>
  <si>
    <t xml:space="preserve">Speedmaster SM 52 – 4 Anicolor</t>
  </si>
  <si>
    <t xml:space="preserve">97124</t>
  </si>
  <si>
    <t xml:space="preserve">Speedmaster SM 52 – 4P+ (4+0 / 2+2)</t>
  </si>
  <si>
    <t xml:space="preserve">97125</t>
  </si>
  <si>
    <t xml:space="preserve">Speedmaster SM 52 – 5 Anicolor</t>
  </si>
  <si>
    <t xml:space="preserve">97126</t>
  </si>
  <si>
    <t xml:space="preserve">Speedmaster SM 52 – 5+LX Anicolor</t>
  </si>
  <si>
    <t xml:space="preserve">97127</t>
  </si>
  <si>
    <t xml:space="preserve">Speedmaster SM 52 – 6P+LX</t>
  </si>
  <si>
    <t xml:space="preserve">99835</t>
  </si>
  <si>
    <t xml:space="preserve">Speedmaster SM 74 - 5PH - L</t>
  </si>
  <si>
    <t xml:space="preserve">99834</t>
  </si>
  <si>
    <t xml:space="preserve">Speedmaster SM 74 - 6H </t>
  </si>
  <si>
    <t xml:space="preserve">97128</t>
  </si>
  <si>
    <t xml:space="preserve">Speedmaster SM 74 – 2P (2 + 0 / 1 + 1)</t>
  </si>
  <si>
    <t xml:space="preserve">97132</t>
  </si>
  <si>
    <t xml:space="preserve">Speedmaster SM 74 – 5P (5 + 0 / 2 + 3)</t>
  </si>
  <si>
    <t xml:space="preserve">97133</t>
  </si>
  <si>
    <t xml:space="preserve">Speedmaster SM 74 – 5P+L (5 + 0 / 2 + 3)</t>
  </si>
  <si>
    <t xml:space="preserve">97134</t>
  </si>
  <si>
    <t xml:space="preserve">Speedmaster SM 74 – 5P+LX (5 + 0 / 2 + 3)</t>
  </si>
  <si>
    <t xml:space="preserve">97140</t>
  </si>
  <si>
    <t xml:space="preserve">Speedmaster SX 52 – 4 Anicolor 0.5mm Max</t>
  </si>
  <si>
    <t xml:space="preserve">97141</t>
  </si>
  <si>
    <t xml:space="preserve">Speedmaster SX 52–2P ( 2 + 0 / 1 + 1)</t>
  </si>
  <si>
    <t xml:space="preserve">97143</t>
  </si>
  <si>
    <t xml:space="preserve">Speedmaster SX 74–4+L</t>
  </si>
  <si>
    <t xml:space="preserve">97147</t>
  </si>
  <si>
    <t xml:space="preserve">Speedmaster XL 75–4+L (F format)</t>
  </si>
  <si>
    <t xml:space="preserve">97144</t>
  </si>
  <si>
    <t xml:space="preserve">Speedmaster XL 105–5+LX</t>
  </si>
  <si>
    <t xml:space="preserve">97145</t>
  </si>
  <si>
    <t xml:space="preserve">Speedmaster XL 105–5+LX New Machine</t>
  </si>
  <si>
    <t xml:space="preserve">97091</t>
  </si>
  <si>
    <t xml:space="preserve">Speedmaster XL 105–6+LX</t>
  </si>
  <si>
    <t xml:space="preserve">100676</t>
  </si>
  <si>
    <t xml:space="preserve">HELLER</t>
  </si>
  <si>
    <t xml:space="preserve">1809EXL</t>
  </si>
  <si>
    <t xml:space="preserve">Reflow Oven</t>
  </si>
  <si>
    <t xml:space="preserve">100695</t>
  </si>
  <si>
    <t xml:space="preserve">Hermes</t>
  </si>
  <si>
    <t xml:space="preserve">eScan400</t>
  </si>
  <si>
    <t xml:space="preserve">Defect Inspection System</t>
  </si>
  <si>
    <t xml:space="preserve">97859</t>
  </si>
  <si>
    <t xml:space="preserve">HERMES</t>
  </si>
  <si>
    <t xml:space="preserve">NMI-100</t>
  </si>
  <si>
    <t xml:space="preserve">DEFECT INSPECTION </t>
  </si>
  <si>
    <t xml:space="preserve">98118</t>
  </si>
  <si>
    <t xml:space="preserve">Hermes Microvision</t>
  </si>
  <si>
    <t xml:space="preserve">eScan320</t>
  </si>
  <si>
    <t xml:space="preserve">ebeam Inspection</t>
  </si>
  <si>
    <t xml:space="preserve">100355</t>
  </si>
  <si>
    <t xml:space="preserve">Herrexco</t>
  </si>
  <si>
    <t xml:space="preserve">HV-11.2</t>
  </si>
  <si>
    <t xml:space="preserve">High-potential station HPT</t>
  </si>
  <si>
    <t xml:space="preserve">98607</t>
  </si>
  <si>
    <t xml:space="preserve">HIRAYAMA</t>
  </si>
  <si>
    <t xml:space="preserve">PC422R7</t>
  </si>
  <si>
    <t xml:space="preserve">PRESSURE COOKER TESTER</t>
  </si>
  <si>
    <t xml:space="preserve">97070</t>
  </si>
  <si>
    <t xml:space="preserve">Hitachi</t>
  </si>
  <si>
    <t xml:space="preserve"> S4800</t>
  </si>
  <si>
    <t xml:space="preserve">Field emission scanning electron microscope (FE-SEM)</t>
  </si>
  <si>
    <t xml:space="preserve">100162</t>
  </si>
  <si>
    <t xml:space="preserve">CG5000</t>
  </si>
  <si>
    <t xml:space="preserve">100161</t>
  </si>
  <si>
    <t xml:space="preserve">100160</t>
  </si>
  <si>
    <t xml:space="preserve">100159</t>
  </si>
  <si>
    <t xml:space="preserve">100158</t>
  </si>
  <si>
    <t xml:space="preserve">100157</t>
  </si>
  <si>
    <t xml:space="preserve">CG-4100</t>
  </si>
  <si>
    <t xml:space="preserve">99159</t>
  </si>
  <si>
    <t xml:space="preserve">99158</t>
  </si>
  <si>
    <t xml:space="preserve">97861</t>
  </si>
  <si>
    <t xml:space="preserve">DB700SM</t>
  </si>
  <si>
    <t xml:space="preserve">97860</t>
  </si>
  <si>
    <t xml:space="preserve">97862</t>
  </si>
  <si>
    <t xml:space="preserve">I6300</t>
  </si>
  <si>
    <t xml:space="preserve">E-BEAM</t>
  </si>
  <si>
    <t xml:space="preserve">96864</t>
  </si>
  <si>
    <t xml:space="preserve">RCF3550AZP1</t>
  </si>
  <si>
    <t xml:space="preserve">Chiller/Heat Exchanger</t>
  </si>
  <si>
    <t xml:space="preserve">98270</t>
  </si>
  <si>
    <t xml:space="preserve">RS 4000</t>
  </si>
  <si>
    <t xml:space="preserve">98269</t>
  </si>
  <si>
    <t xml:space="preserve">99856</t>
  </si>
  <si>
    <t xml:space="preserve">S4500</t>
  </si>
  <si>
    <t xml:space="preserve">Field Emission SEM</t>
  </si>
  <si>
    <t xml:space="preserve">98273</t>
  </si>
  <si>
    <t xml:space="preserve">S4700</t>
  </si>
  <si>
    <t xml:space="preserve">FE SEM</t>
  </si>
  <si>
    <t xml:space="preserve">98272</t>
  </si>
  <si>
    <t xml:space="preserve">S4700-II</t>
  </si>
  <si>
    <t xml:space="preserve">Scanning Electron Microscope</t>
  </si>
  <si>
    <t xml:space="preserve">98271</t>
  </si>
  <si>
    <t xml:space="preserve">99987</t>
  </si>
  <si>
    <t xml:space="preserve">S8820</t>
  </si>
  <si>
    <t xml:space="preserve">SEM</t>
  </si>
  <si>
    <t xml:space="preserve">98274</t>
  </si>
  <si>
    <t xml:space="preserve">S9220</t>
  </si>
  <si>
    <t xml:space="preserve">CD SEM</t>
  </si>
  <si>
    <t xml:space="preserve">99988</t>
  </si>
  <si>
    <t xml:space="preserve">S9300</t>
  </si>
  <si>
    <t xml:space="preserve">98275</t>
  </si>
  <si>
    <t xml:space="preserve">S9380 II</t>
  </si>
  <si>
    <t xml:space="preserve">98813</t>
  </si>
  <si>
    <t xml:space="preserve">S9380-2</t>
  </si>
  <si>
    <t xml:space="preserve">100779</t>
  </si>
  <si>
    <t xml:space="preserve">S-3400N</t>
  </si>
  <si>
    <t xml:space="preserve">100781</t>
  </si>
  <si>
    <t xml:space="preserve">S-4500</t>
  </si>
  <si>
    <t xml:space="preserve">100780</t>
  </si>
  <si>
    <t xml:space="preserve">97014</t>
  </si>
  <si>
    <t xml:space="preserve">S-4700</t>
  </si>
  <si>
    <t xml:space="preserve">98120</t>
  </si>
  <si>
    <t xml:space="preserve">S-4800</t>
  </si>
  <si>
    <t xml:space="preserve">98119</t>
  </si>
  <si>
    <t xml:space="preserve">100782</t>
  </si>
  <si>
    <t xml:space="preserve">SEM with EDX</t>
  </si>
  <si>
    <t xml:space="preserve">97016</t>
  </si>
  <si>
    <t xml:space="preserve">S-5000</t>
  </si>
  <si>
    <t xml:space="preserve">FE-SEM</t>
  </si>
  <si>
    <t xml:space="preserve">100783</t>
  </si>
  <si>
    <t xml:space="preserve">98206</t>
  </si>
  <si>
    <t xml:space="preserve">S-5000 </t>
  </si>
  <si>
    <t xml:space="preserve">100784</t>
  </si>
  <si>
    <t xml:space="preserve">S-5000H</t>
  </si>
  <si>
    <t xml:space="preserve">99005</t>
  </si>
  <si>
    <t xml:space="preserve">S-5500</t>
  </si>
  <si>
    <t xml:space="preserve">Ultra-high Resolution SEM</t>
  </si>
  <si>
    <t xml:space="preserve">200/300 mm</t>
  </si>
  <si>
    <t xml:space="preserve">99855</t>
  </si>
  <si>
    <t xml:space="preserve">S-8820</t>
  </si>
  <si>
    <t xml:space="preserve">100785</t>
  </si>
  <si>
    <t xml:space="preserve">100786</t>
  </si>
  <si>
    <t xml:space="preserve">S-8840</t>
  </si>
  <si>
    <t xml:space="preserve">100788</t>
  </si>
  <si>
    <t xml:space="preserve">S-9260A</t>
  </si>
  <si>
    <t xml:space="preserve">100787</t>
  </si>
  <si>
    <t xml:space="preserve">100789</t>
  </si>
  <si>
    <t xml:space="preserve">S-9360</t>
  </si>
  <si>
    <t xml:space="preserve">100790</t>
  </si>
  <si>
    <t xml:space="preserve">S-9380</t>
  </si>
  <si>
    <t xml:space="preserve">100163</t>
  </si>
  <si>
    <t xml:space="preserve">S-9380 II</t>
  </si>
  <si>
    <t xml:space="preserve">98122</t>
  </si>
  <si>
    <t xml:space="preserve">S-9380II</t>
  </si>
  <si>
    <t xml:space="preserve">98121</t>
  </si>
  <si>
    <t xml:space="preserve">100791</t>
  </si>
  <si>
    <t xml:space="preserve">100729</t>
  </si>
  <si>
    <t xml:space="preserve">SU1510</t>
  </si>
  <si>
    <t xml:space="preserve">97043</t>
  </si>
  <si>
    <t xml:space="preserve">SU 8010</t>
  </si>
  <si>
    <t xml:space="preserve">Ultra High Resolution Field Emission Scanning Electron Microscope</t>
  </si>
  <si>
    <t xml:space="preserve">100164</t>
  </si>
  <si>
    <t xml:space="preserve">U-7050A</t>
  </si>
  <si>
    <t xml:space="preserve">98343</t>
  </si>
  <si>
    <t xml:space="preserve">UA-7200</t>
  </si>
  <si>
    <t xml:space="preserve">98506</t>
  </si>
  <si>
    <t xml:space="preserve">WA200</t>
  </si>
  <si>
    <t xml:space="preserve">98207</t>
  </si>
  <si>
    <t xml:space="preserve">Hitachi  </t>
  </si>
  <si>
    <t xml:space="preserve">S-7800</t>
  </si>
  <si>
    <t xml:space="preserve">Metrology and Inspection</t>
  </si>
  <si>
    <t xml:space="preserve">98208</t>
  </si>
  <si>
    <t xml:space="preserve">Hitachi    </t>
  </si>
  <si>
    <t xml:space="preserve">S-9380-II</t>
  </si>
  <si>
    <t xml:space="preserve">100166</t>
  </si>
  <si>
    <t xml:space="preserve">HMI</t>
  </si>
  <si>
    <t xml:space="preserve">eP3 XP</t>
  </si>
  <si>
    <t xml:space="preserve">E-beam Inspection</t>
  </si>
  <si>
    <t xml:space="preserve">100165</t>
  </si>
  <si>
    <t xml:space="preserve">97891</t>
  </si>
  <si>
    <t xml:space="preserve">HONTECH</t>
  </si>
  <si>
    <t xml:space="preserve">HT-3000</t>
  </si>
  <si>
    <t xml:space="preserve">98392</t>
  </si>
  <si>
    <t xml:space="preserve">Horiba </t>
  </si>
  <si>
    <t xml:space="preserve">PD2000 (PARTS)</t>
  </si>
  <si>
    <t xml:space="preserve">Reticle Inspection System (User Interface)</t>
  </si>
  <si>
    <t xml:space="preserve">97863</t>
  </si>
  <si>
    <t xml:space="preserve">HP</t>
  </si>
  <si>
    <t xml:space="preserve">16500C</t>
  </si>
  <si>
    <t xml:space="preserve">Logic Analyser</t>
  </si>
  <si>
    <t xml:space="preserve">97929</t>
  </si>
  <si>
    <t xml:space="preserve">ILSHIN AUTOCLAVE</t>
  </si>
  <si>
    <t xml:space="preserve">ISA-7822</t>
  </si>
  <si>
    <t xml:space="preserve">PRESSURE CURE OVEN</t>
  </si>
  <si>
    <t xml:space="preserve">OVEN</t>
  </si>
  <si>
    <t xml:space="preserve">100356</t>
  </si>
  <si>
    <t xml:space="preserve">IMA Automation</t>
  </si>
  <si>
    <t xml:space="preserve">ACS</t>
  </si>
  <si>
    <t xml:space="preserve">Automated Contacting System</t>
  </si>
  <si>
    <t xml:space="preserve">98466</t>
  </si>
  <si>
    <t xml:space="preserve">IPEC</t>
  </si>
  <si>
    <t xml:space="preserve">472</t>
  </si>
  <si>
    <t xml:space="preserve">98465</t>
  </si>
  <si>
    <t xml:space="preserve">98814</t>
  </si>
  <si>
    <t xml:space="preserve">IPS</t>
  </si>
  <si>
    <t xml:space="preserve">AKRA</t>
  </si>
  <si>
    <t xml:space="preserve">98815</t>
  </si>
  <si>
    <t xml:space="preserve">MAHA-SP</t>
  </si>
  <si>
    <t xml:space="preserve">98226</t>
  </si>
  <si>
    <t xml:space="preserve">ITC</t>
  </si>
  <si>
    <t xml:space="preserve">Probilt PB6800</t>
  </si>
  <si>
    <t xml:space="preserve">97892</t>
  </si>
  <si>
    <t xml:space="preserve">ITOS</t>
  </si>
  <si>
    <t xml:space="preserve">ITOS-750AM</t>
  </si>
  <si>
    <t xml:space="preserve">ATE</t>
  </si>
  <si>
    <t xml:space="preserve">98393</t>
  </si>
  <si>
    <t xml:space="preserve">Jeol</t>
  </si>
  <si>
    <t xml:space="preserve">6340F</t>
  </si>
  <si>
    <t xml:space="preserve">98394</t>
  </si>
  <si>
    <t xml:space="preserve">6600F</t>
  </si>
  <si>
    <t xml:space="preserve">98123</t>
  </si>
  <si>
    <t xml:space="preserve">JEOL</t>
  </si>
  <si>
    <t xml:space="preserve">ARM200CF Super X</t>
  </si>
  <si>
    <t xml:space="preserve">PFA</t>
  </si>
  <si>
    <t xml:space="preserve">98611</t>
  </si>
  <si>
    <t xml:space="preserve">JEM-3000F</t>
  </si>
  <si>
    <t xml:space="preserve">Ultra High pressure Electron Microscope</t>
  </si>
  <si>
    <t xml:space="preserve">LABORATORY</t>
  </si>
  <si>
    <t xml:space="preserve">97999</t>
  </si>
  <si>
    <t xml:space="preserve">JWS 7700</t>
  </si>
  <si>
    <t xml:space="preserve">DR SEM</t>
  </si>
  <si>
    <t xml:space="preserve">98395</t>
  </si>
  <si>
    <t xml:space="preserve">JWS-7555S</t>
  </si>
  <si>
    <t xml:space="preserve">Wafer Inspection System</t>
  </si>
  <si>
    <t xml:space="preserve">97895</t>
  </si>
  <si>
    <t xml:space="preserve">JET</t>
  </si>
  <si>
    <t xml:space="preserve">JWBS-20Q</t>
  </si>
  <si>
    <t xml:space="preserve">Vertical Bandsaw machine</t>
  </si>
  <si>
    <t xml:space="preserve">98396</t>
  </si>
  <si>
    <t xml:space="preserve">JGA LGF</t>
  </si>
  <si>
    <t xml:space="preserve">Furnace</t>
  </si>
  <si>
    <t xml:space="preserve">50 wafer mini-batch furnace</t>
  </si>
  <si>
    <t xml:space="preserve">98726</t>
  </si>
  <si>
    <t xml:space="preserve">SDB</t>
  </si>
  <si>
    <t xml:space="preserve">Automated Loader for Baccini Printing Line</t>
  </si>
  <si>
    <t xml:space="preserve">98727</t>
  </si>
  <si>
    <t xml:space="preserve">WHD (Wafer Handling Diffusion)</t>
  </si>
  <si>
    <t xml:space="preserve">Automated Loader for Centrotherm E2000 Furnace</t>
  </si>
  <si>
    <t xml:space="preserve">98728</t>
  </si>
  <si>
    <t xml:space="preserve">WHP (Wafer Handling Plasm)</t>
  </si>
  <si>
    <t xml:space="preserve">Automated Loader for Anti Reflection Coating System</t>
  </si>
  <si>
    <t xml:space="preserve">99001</t>
  </si>
  <si>
    <t xml:space="preserve">Jordan Valley</t>
  </si>
  <si>
    <t xml:space="preserve">JVX6200</t>
  </si>
  <si>
    <t xml:space="preserve">X-Ray Reflectometer</t>
  </si>
  <si>
    <t xml:space="preserve">99830</t>
  </si>
  <si>
    <t xml:space="preserve">JORDAN VALLEY</t>
  </si>
  <si>
    <t xml:space="preserve">JVX6200I</t>
  </si>
  <si>
    <t xml:space="preserve">X-ray Metrology System</t>
  </si>
  <si>
    <t xml:space="preserve">98000</t>
  </si>
  <si>
    <t xml:space="preserve">VVX 5200T</t>
  </si>
  <si>
    <t xml:space="preserve">METROLOGY</t>
  </si>
  <si>
    <t xml:space="preserve">97200</t>
  </si>
  <si>
    <t xml:space="preserve">Juki </t>
  </si>
  <si>
    <t xml:space="preserve">KD-775</t>
  </si>
  <si>
    <t xml:space="preserve">99393</t>
  </si>
  <si>
    <t xml:space="preserve">K AND S</t>
  </si>
  <si>
    <t xml:space="preserve">982-10 Plus</t>
  </si>
  <si>
    <t xml:space="preserve">98529</t>
  </si>
  <si>
    <t xml:space="preserve">K&amp;S</t>
  </si>
  <si>
    <t xml:space="preserve">1474 fp</t>
  </si>
  <si>
    <t xml:space="preserve">99962</t>
  </si>
  <si>
    <t xml:space="preserve">1488</t>
  </si>
  <si>
    <t xml:space="preserve">wire bonder</t>
  </si>
  <si>
    <t xml:space="preserve">2 weeks</t>
  </si>
  <si>
    <t xml:space="preserve">97841</t>
  </si>
  <si>
    <t xml:space="preserve">4523D</t>
  </si>
  <si>
    <t xml:space="preserve">Digital Manual Wedge Bonder</t>
  </si>
  <si>
    <t xml:space="preserve">99415</t>
  </si>
  <si>
    <t xml:space="preserve">6495</t>
  </si>
  <si>
    <t xml:space="preserve">Semiautomatic Epoxy Die Bonder</t>
  </si>
  <si>
    <t xml:space="preserve">99416</t>
  </si>
  <si>
    <t xml:space="preserve">6497</t>
  </si>
  <si>
    <t xml:space="preserve">Semiautomatic Flip Chip Die Bonder</t>
  </si>
  <si>
    <t xml:space="preserve">100645</t>
  </si>
  <si>
    <t xml:space="preserve">7300</t>
  </si>
  <si>
    <t xml:space="preserve">100644</t>
  </si>
  <si>
    <t xml:space="preserve">100171</t>
  </si>
  <si>
    <t xml:space="preserve">7500</t>
  </si>
  <si>
    <t xml:space="preserve">100170</t>
  </si>
  <si>
    <t xml:space="preserve">100169</t>
  </si>
  <si>
    <t xml:space="preserve">100168</t>
  </si>
  <si>
    <t xml:space="preserve">100167</t>
  </si>
  <si>
    <t xml:space="preserve">98397</t>
  </si>
  <si>
    <t xml:space="preserve">8098</t>
  </si>
  <si>
    <t xml:space="preserve">Gold Ball Wire Bonder</t>
  </si>
  <si>
    <t xml:space="preserve">99183</t>
  </si>
  <si>
    <t xml:space="preserve">AT Premier PLUS</t>
  </si>
  <si>
    <t xml:space="preserve">97932</t>
  </si>
  <si>
    <t xml:space="preserve">IConn</t>
  </si>
  <si>
    <t xml:space="preserve">12</t>
  </si>
  <si>
    <t xml:space="preserve">98530</t>
  </si>
  <si>
    <t xml:space="preserve">Maxum Ultra</t>
  </si>
  <si>
    <t xml:space="preserve">97933</t>
  </si>
  <si>
    <t xml:space="preserve">100858</t>
  </si>
  <si>
    <t xml:space="preserve">PowerFusion</t>
  </si>
  <si>
    <t xml:space="preserve">Wedge Bonder</t>
  </si>
  <si>
    <t xml:space="preserve">100857</t>
  </si>
  <si>
    <t xml:space="preserve">99172</t>
  </si>
  <si>
    <t xml:space="preserve">kaijo</t>
  </si>
  <si>
    <t xml:space="preserve">KRF-300</t>
  </si>
  <si>
    <t xml:space="preserve">Carrier/Pod Cleaner</t>
  </si>
  <si>
    <t xml:space="preserve">99171</t>
  </si>
  <si>
    <t xml:space="preserve">99170</t>
  </si>
  <si>
    <t xml:space="preserve">99169</t>
  </si>
  <si>
    <t xml:space="preserve">99168</t>
  </si>
  <si>
    <t xml:space="preserve">99167</t>
  </si>
  <si>
    <t xml:space="preserve">99166</t>
  </si>
  <si>
    <t xml:space="preserve">96870</t>
  </si>
  <si>
    <t xml:space="preserve">Kaijo</t>
  </si>
  <si>
    <t xml:space="preserve">SFT-300</t>
  </si>
  <si>
    <t xml:space="preserve">97625</t>
  </si>
  <si>
    <t xml:space="preserve">SFT-305</t>
  </si>
  <si>
    <t xml:space="preserve">97626</t>
  </si>
  <si>
    <t xml:space="preserve">SFT-305e</t>
  </si>
  <si>
    <t xml:space="preserve">99838</t>
  </si>
  <si>
    <t xml:space="preserve">Karl Suss</t>
  </si>
  <si>
    <t xml:space="preserve">AP6</t>
  </si>
  <si>
    <t xml:space="preserve">Manual prober with shield box and 6 probes</t>
  </si>
  <si>
    <t xml:space="preserve">99946</t>
  </si>
  <si>
    <t xml:space="preserve">Gamma</t>
  </si>
  <si>
    <t xml:space="preserve">Coater &amp; Developer</t>
  </si>
  <si>
    <t xml:space="preserve">100008</t>
  </si>
  <si>
    <t xml:space="preserve">MA4/6</t>
  </si>
  <si>
    <t xml:space="preserve">Mask Aligner</t>
  </si>
  <si>
    <t xml:space="preserve">99858</t>
  </si>
  <si>
    <t xml:space="preserve">MA6</t>
  </si>
  <si>
    <t xml:space="preserve">Manual Topside Aligner</t>
  </si>
  <si>
    <t xml:space="preserve">99954</t>
  </si>
  <si>
    <t xml:space="preserve">MA6/BA 6</t>
  </si>
  <si>
    <t xml:space="preserve">99392</t>
  </si>
  <si>
    <t xml:space="preserve">KARL SUSS</t>
  </si>
  <si>
    <t xml:space="preserve">MA56</t>
  </si>
  <si>
    <t xml:space="preserve">99857</t>
  </si>
  <si>
    <t xml:space="preserve">MA150 EL</t>
  </si>
  <si>
    <t xml:space="preserve">Maual Topside Mask Aligner</t>
  </si>
  <si>
    <t xml:space="preserve">100006</t>
  </si>
  <si>
    <t xml:space="preserve">MA150CC</t>
  </si>
  <si>
    <t xml:space="preserve">98124</t>
  </si>
  <si>
    <t xml:space="preserve">MA200</t>
  </si>
  <si>
    <t xml:space="preserve">Aligner</t>
  </si>
  <si>
    <t xml:space="preserve">100007</t>
  </si>
  <si>
    <t xml:space="preserve">100707</t>
  </si>
  <si>
    <t xml:space="preserve">MA 45</t>
  </si>
  <si>
    <t xml:space="preserve">99437</t>
  </si>
  <si>
    <t xml:space="preserve">MA 150</t>
  </si>
  <si>
    <t xml:space="preserve">150  mm</t>
  </si>
  <si>
    <t xml:space="preserve">99394</t>
  </si>
  <si>
    <t xml:space="preserve">Mask Aligner (For spares use)</t>
  </si>
  <si>
    <t xml:space="preserve">98398</t>
  </si>
  <si>
    <t xml:space="preserve">Ma 150CC</t>
  </si>
  <si>
    <t xml:space="preserve">Top Side/Back Side Aligner</t>
  </si>
  <si>
    <t xml:space="preserve">97103</t>
  </si>
  <si>
    <t xml:space="preserve">MA 150M/BSA</t>
  </si>
  <si>
    <t xml:space="preserve">100 mm and 150 mm</t>
  </si>
  <si>
    <t xml:space="preserve">99877</t>
  </si>
  <si>
    <t xml:space="preserve">MJB 3</t>
  </si>
  <si>
    <t xml:space="preserve">Mak Aligner</t>
  </si>
  <si>
    <t xml:space="preserve">97104</t>
  </si>
  <si>
    <t xml:space="preserve">99402</t>
  </si>
  <si>
    <t xml:space="preserve">MJB-3</t>
  </si>
  <si>
    <t xml:space="preserve">99397</t>
  </si>
  <si>
    <t xml:space="preserve">PM 8</t>
  </si>
  <si>
    <t xml:space="preserve">99839</t>
  </si>
  <si>
    <t xml:space="preserve">PSM4</t>
  </si>
  <si>
    <t xml:space="preserve">Manual prober with 8 probes</t>
  </si>
  <si>
    <t xml:space="preserve">98972</t>
  </si>
  <si>
    <t xml:space="preserve">PSM6</t>
  </si>
  <si>
    <t xml:space="preserve">97105</t>
  </si>
  <si>
    <t xml:space="preserve">100173</t>
  </si>
  <si>
    <t xml:space="preserve">Kashiyama</t>
  </si>
  <si>
    <t xml:space="preserve">MU100XU</t>
  </si>
  <si>
    <t xml:space="preserve">100172</t>
  </si>
  <si>
    <t xml:space="preserve">96871</t>
  </si>
  <si>
    <t xml:space="preserve">100174</t>
  </si>
  <si>
    <t xml:space="preserve">NeoDry36C</t>
  </si>
  <si>
    <t xml:space="preserve">99058</t>
  </si>
  <si>
    <t xml:space="preserve">Kawasaki</t>
  </si>
  <si>
    <t xml:space="preserve">3NS410B</t>
  </si>
  <si>
    <t xml:space="preserve">Robot type A205</t>
  </si>
  <si>
    <t xml:space="preserve">98467</t>
  </si>
  <si>
    <t xml:space="preserve">3NS411-F003</t>
  </si>
  <si>
    <t xml:space="preserve">atmospheric wafer robot( AMAT CMP)</t>
  </si>
  <si>
    <t xml:space="preserve">98468</t>
  </si>
  <si>
    <t xml:space="preserve">3NX540B-A302</t>
  </si>
  <si>
    <t xml:space="preserve">atmospheric wafer robot( AMAT producer)</t>
  </si>
  <si>
    <t xml:space="preserve">99937</t>
  </si>
  <si>
    <t xml:space="preserve">KAWASAKI</t>
  </si>
  <si>
    <t xml:space="preserve">30C08P-C005</t>
  </si>
  <si>
    <t xml:space="preserve">ROBOT CONTROLLER</t>
  </si>
  <si>
    <t xml:space="preserve">98469</t>
  </si>
  <si>
    <t xml:space="preserve">NS410B-A002</t>
  </si>
  <si>
    <t xml:space="preserve">97092</t>
  </si>
  <si>
    <t xml:space="preserve">KBA</t>
  </si>
  <si>
    <t xml:space="preserve">Rapida RA106 - 4 + T + 4 SW5 (8 + 0 / 4 + 4) with HR-UV</t>
  </si>
  <si>
    <t xml:space="preserve">97151</t>
  </si>
  <si>
    <t xml:space="preserve">KBA </t>
  </si>
  <si>
    <t xml:space="preserve">Rapida RA75 - 6</t>
  </si>
  <si>
    <t xml:space="preserve">97149</t>
  </si>
  <si>
    <t xml:space="preserve">Rapida RA106 - 5 P40 18,000 sph</t>
  </si>
  <si>
    <t xml:space="preserve">97150</t>
  </si>
  <si>
    <t xml:space="preserve">Rapida RA106 - 8 SW (8 + 0 / 4 + 4)</t>
  </si>
  <si>
    <t xml:space="preserve">97934</t>
  </si>
  <si>
    <t xml:space="preserve">2700</t>
  </si>
  <si>
    <t xml:space="preserve">MULTIMETER</t>
  </si>
  <si>
    <t xml:space="preserve">97896</t>
  </si>
  <si>
    <t xml:space="preserve">Kejie Machinery</t>
  </si>
  <si>
    <t xml:space="preserve">JTGK-500Е</t>
  </si>
  <si>
    <t xml:space="preserve">Engraving-milling center</t>
  </si>
  <si>
    <t xml:space="preserve">98729</t>
  </si>
  <si>
    <t xml:space="preserve">Keller</t>
  </si>
  <si>
    <t xml:space="preserve">VARIO-T-10-SC8-B30_HD</t>
  </si>
  <si>
    <t xml:space="preserve">98470</t>
  </si>
  <si>
    <t xml:space="preserve">Kensington</t>
  </si>
  <si>
    <t xml:space="preserve">WFH4D</t>
  </si>
  <si>
    <t xml:space="preserve">atmospheric wafer robot with pre-aligner</t>
  </si>
  <si>
    <t xml:space="preserve">100677</t>
  </si>
  <si>
    <t xml:space="preserve">KEYENCE</t>
  </si>
  <si>
    <t xml:space="preserve">VH8000</t>
  </si>
  <si>
    <t xml:space="preserve">Digital HF Microscope</t>
  </si>
  <si>
    <t xml:space="preserve">97864</t>
  </si>
  <si>
    <t xml:space="preserve">KeyTek</t>
  </si>
  <si>
    <t xml:space="preserve">RCDM</t>
  </si>
  <si>
    <t xml:space="preserve">CDM TEST SYSTEM</t>
  </si>
  <si>
    <t xml:space="preserve">99837</t>
  </si>
  <si>
    <t xml:space="preserve">KLA- TENCOR</t>
  </si>
  <si>
    <t xml:space="preserve">P-22H</t>
  </si>
  <si>
    <t xml:space="preserve">Metrology Tool</t>
  </si>
  <si>
    <t xml:space="preserve">98472</t>
  </si>
  <si>
    <t xml:space="preserve">KLA-Tencor</t>
  </si>
  <si>
    <t xml:space="preserve">3Di EFEM module</t>
  </si>
  <si>
    <t xml:space="preserve">Yaskawa 9206 robot withSinfonia loadport</t>
  </si>
  <si>
    <t xml:space="preserve">98399</t>
  </si>
  <si>
    <t xml:space="preserve">Inspection System</t>
  </si>
  <si>
    <t xml:space="preserve">98910</t>
  </si>
  <si>
    <t xml:space="preserve">2135</t>
  </si>
  <si>
    <t xml:space="preserve">Brightfield wafer defect inspection</t>
  </si>
  <si>
    <t xml:space="preserve">98209</t>
  </si>
  <si>
    <t xml:space="preserve">2365</t>
  </si>
  <si>
    <t xml:space="preserve">99947</t>
  </si>
  <si>
    <t xml:space="preserve">2371</t>
  </si>
  <si>
    <t xml:space="preserve">Bright-Field Defect Inspection</t>
  </si>
  <si>
    <t xml:space="preserve">98344</t>
  </si>
  <si>
    <t xml:space="preserve">2810</t>
  </si>
  <si>
    <t xml:space="preserve">METRO</t>
  </si>
  <si>
    <t xml:space="preserve">98471</t>
  </si>
  <si>
    <t xml:space="preserve">2835i EFEM module</t>
  </si>
  <si>
    <t xml:space="preserve">Yaskawa 9206 robot with Isoport</t>
  </si>
  <si>
    <t xml:space="preserve">98911</t>
  </si>
  <si>
    <t xml:space="preserve">2915</t>
  </si>
  <si>
    <t xml:space="preserve">98126</t>
  </si>
  <si>
    <t xml:space="preserve">3905</t>
  </si>
  <si>
    <t xml:space="preserve">Broadband Plasma Patterned Wafer Inspection</t>
  </si>
  <si>
    <t xml:space="preserve">98125</t>
  </si>
  <si>
    <t xml:space="preserve">99859</t>
  </si>
  <si>
    <t xml:space="preserve">5011</t>
  </si>
  <si>
    <t xml:space="preserve">Overlay precision measurement system</t>
  </si>
  <si>
    <t xml:space="preserve">98131</t>
  </si>
  <si>
    <t xml:space="preserve">5100</t>
  </si>
  <si>
    <t xml:space="preserve">99441</t>
  </si>
  <si>
    <t xml:space="preserve">5200</t>
  </si>
  <si>
    <t xml:space="preserve">99440</t>
  </si>
  <si>
    <t xml:space="preserve">5200XP</t>
  </si>
  <si>
    <t xml:space="preserve">99439</t>
  </si>
  <si>
    <t xml:space="preserve">98969</t>
  </si>
  <si>
    <t xml:space="preserve">8100XP</t>
  </si>
  <si>
    <t xml:space="preserve">99417</t>
  </si>
  <si>
    <t xml:space="preserve">AIT 1</t>
  </si>
  <si>
    <t xml:space="preserve">Patterned Wafer Defect Inspection Tool</t>
  </si>
  <si>
    <t xml:space="preserve">97019</t>
  </si>
  <si>
    <t xml:space="preserve">AIT 8010</t>
  </si>
  <si>
    <t xml:space="preserve">Defect Inspection System </t>
  </si>
  <si>
    <t xml:space="preserve">98400</t>
  </si>
  <si>
    <t xml:space="preserve">AIT I Surfscan</t>
  </si>
  <si>
    <t xml:space="preserve">Patterned Wafer Surface Inspection</t>
  </si>
  <si>
    <t xml:space="preserve">98549</t>
  </si>
  <si>
    <t xml:space="preserve">AIT XP</t>
  </si>
  <si>
    <t xml:space="preserve">Darkfield Pattern Inspection</t>
  </si>
  <si>
    <t xml:space="preserve">98912</t>
  </si>
  <si>
    <t xml:space="preserve">Defect Inspection</t>
  </si>
  <si>
    <t xml:space="preserve">100188</t>
  </si>
  <si>
    <t xml:space="preserve">AIT XP DUAL OPEN HANDLER</t>
  </si>
  <si>
    <t xml:space="preserve">Handler Only (Brand New and unused)</t>
  </si>
  <si>
    <t xml:space="preserve">98548</t>
  </si>
  <si>
    <t xml:space="preserve">AIT XP Fusion</t>
  </si>
  <si>
    <t xml:space="preserve">98913</t>
  </si>
  <si>
    <t xml:space="preserve">AIT XUV</t>
  </si>
  <si>
    <t xml:space="preserve">Darkfield Wafer Inspection</t>
  </si>
  <si>
    <t xml:space="preserve">98127</t>
  </si>
  <si>
    <t xml:space="preserve">Aleris CX</t>
  </si>
  <si>
    <t xml:space="preserve">Film thickness measurements</t>
  </si>
  <si>
    <t xml:space="preserve">99948</t>
  </si>
  <si>
    <t xml:space="preserve">Aleris HX8500</t>
  </si>
  <si>
    <t xml:space="preserve">Thickness Measurement</t>
  </si>
  <si>
    <t xml:space="preserve">100730</t>
  </si>
  <si>
    <t xml:space="preserve">Alpha Step IQ</t>
  </si>
  <si>
    <t xml:space="preserve">Surface Profiler</t>
  </si>
  <si>
    <t xml:space="preserve">98816</t>
  </si>
  <si>
    <t xml:space="preserve">ARCHER10XT</t>
  </si>
  <si>
    <t xml:space="preserve">100176</t>
  </si>
  <si>
    <t xml:space="preserve">Archer 100</t>
  </si>
  <si>
    <t xml:space="preserve">100175</t>
  </si>
  <si>
    <t xml:space="preserve">97453</t>
  </si>
  <si>
    <t xml:space="preserve">Archer 200 AIM</t>
  </si>
  <si>
    <t xml:space="preserve">100179</t>
  </si>
  <si>
    <t xml:space="preserve">Archer 300</t>
  </si>
  <si>
    <t xml:space="preserve">100178</t>
  </si>
  <si>
    <t xml:space="preserve">100177</t>
  </si>
  <si>
    <t xml:space="preserve">98128</t>
  </si>
  <si>
    <t xml:space="preserve">Archer 300 AIM</t>
  </si>
  <si>
    <t xml:space="preserve">Overlay</t>
  </si>
  <si>
    <t xml:space="preserve">100181</t>
  </si>
  <si>
    <t xml:space="preserve">Archer XT+</t>
  </si>
  <si>
    <t xml:space="preserve">100180</t>
  </si>
  <si>
    <t xml:space="preserve">98817</t>
  </si>
  <si>
    <t xml:space="preserve">ARCHERXT-PLUS</t>
  </si>
  <si>
    <t xml:space="preserve">100185</t>
  </si>
  <si>
    <t xml:space="preserve">ASET-F5x</t>
  </si>
  <si>
    <t xml:space="preserve">Film Thickness Measurement System</t>
  </si>
  <si>
    <t xml:space="preserve">100184</t>
  </si>
  <si>
    <t xml:space="preserve">100183</t>
  </si>
  <si>
    <t xml:space="preserve">100182</t>
  </si>
  <si>
    <t xml:space="preserve">98129</t>
  </si>
  <si>
    <t xml:space="preserve">Thickness measurement</t>
  </si>
  <si>
    <t xml:space="preserve">99055</t>
  </si>
  <si>
    <t xml:space="preserve">Candela CS20R</t>
  </si>
  <si>
    <t xml:space="preserve">Optical Surface Analyzer</t>
  </si>
  <si>
    <t xml:space="preserve">100731</t>
  </si>
  <si>
    <t xml:space="preserve">Candela CS20V</t>
  </si>
  <si>
    <t xml:space="preserve">Wafer Inspection</t>
  </si>
  <si>
    <t xml:space="preserve">97935</t>
  </si>
  <si>
    <t xml:space="preserve">CI-T53P</t>
  </si>
  <si>
    <t xml:space="preserve">COMPONENT INSPECTOR</t>
  </si>
  <si>
    <t xml:space="preserve">98002</t>
  </si>
  <si>
    <t xml:space="preserve">ES31</t>
  </si>
  <si>
    <t xml:space="preserve">ebeam inspection</t>
  </si>
  <si>
    <t xml:space="preserve">98551</t>
  </si>
  <si>
    <t xml:space="preserve">ES31 </t>
  </si>
  <si>
    <t xml:space="preserve">SEM Defect Inspection</t>
  </si>
  <si>
    <t xml:space="preserve">100186</t>
  </si>
  <si>
    <t xml:space="preserve">eS32</t>
  </si>
  <si>
    <t xml:space="preserve">98003</t>
  </si>
  <si>
    <t xml:space="preserve">ES32</t>
  </si>
  <si>
    <t xml:space="preserve">100187</t>
  </si>
  <si>
    <t xml:space="preserve">eS37</t>
  </si>
  <si>
    <t xml:space="preserve">98818</t>
  </si>
  <si>
    <t xml:space="preserve">F5X</t>
  </si>
  <si>
    <t xml:space="preserve">99010</t>
  </si>
  <si>
    <t xml:space="preserve">Surface Characterization</t>
  </si>
  <si>
    <t xml:space="preserve">98130</t>
  </si>
  <si>
    <t xml:space="preserve">HRP-340</t>
  </si>
  <si>
    <t xml:space="preserve">Profileometer</t>
  </si>
  <si>
    <t xml:space="preserve">99912</t>
  </si>
  <si>
    <t xml:space="preserve">KLA2131</t>
  </si>
  <si>
    <t xml:space="preserve">97018</t>
  </si>
  <si>
    <t xml:space="preserve">OP2600</t>
  </si>
  <si>
    <t xml:space="preserve">Thick Film Measurement</t>
  </si>
  <si>
    <t xml:space="preserve">99860</t>
  </si>
  <si>
    <t xml:space="preserve">P10</t>
  </si>
  <si>
    <t xml:space="preserve">98402</t>
  </si>
  <si>
    <t xml:space="preserve">P20H </t>
  </si>
  <si>
    <t xml:space="preserve">handler profiler</t>
  </si>
  <si>
    <t xml:space="preserve">98401</t>
  </si>
  <si>
    <t xml:space="preserve">P-2 </t>
  </si>
  <si>
    <t xml:space="preserve">Profiler</t>
  </si>
  <si>
    <t xml:space="preserve">99011</t>
  </si>
  <si>
    <t xml:space="preserve">PUMA2</t>
  </si>
  <si>
    <t xml:space="preserve">Darkfield Inspection</t>
  </si>
  <si>
    <t xml:space="preserve">98819</t>
  </si>
  <si>
    <t xml:space="preserve">PUMA 2</t>
  </si>
  <si>
    <t xml:space="preserve">98132</t>
  </si>
  <si>
    <t xml:space="preserve">Puma 9100</t>
  </si>
  <si>
    <t xml:space="preserve">Dark Field Inspection</t>
  </si>
  <si>
    <t xml:space="preserve">97643</t>
  </si>
  <si>
    <t xml:space="preserve">Puma 9120</t>
  </si>
  <si>
    <t xml:space="preserve">97642</t>
  </si>
  <si>
    <t xml:space="preserve">98915</t>
  </si>
  <si>
    <t xml:space="preserve">Puma 9550i</t>
  </si>
  <si>
    <t xml:space="preserve">99178</t>
  </si>
  <si>
    <t xml:space="preserve">Puma 9650</t>
  </si>
  <si>
    <t xml:space="preserve">98056</t>
  </si>
  <si>
    <t xml:space="preserve">QUANTOX 64100</t>
  </si>
  <si>
    <t xml:space="preserve">Wafer electrical measurement</t>
  </si>
  <si>
    <t xml:space="preserve">99418</t>
  </si>
  <si>
    <t xml:space="preserve">RS-55TCA</t>
  </si>
  <si>
    <t xml:space="preserve">Resisitivity Measurement</t>
  </si>
  <si>
    <t xml:space="preserve">75mm - 200 mm</t>
  </si>
  <si>
    <t xml:space="preserve">99990</t>
  </si>
  <si>
    <t xml:space="preserve">SFS7600</t>
  </si>
  <si>
    <t xml:space="preserve">Surfscan Patterned Wafer Inspection System</t>
  </si>
  <si>
    <t xml:space="preserve">99989</t>
  </si>
  <si>
    <t xml:space="preserve">98403</t>
  </si>
  <si>
    <t xml:space="preserve">SFS-7600</t>
  </si>
  <si>
    <t xml:space="preserve">99861</t>
  </si>
  <si>
    <t xml:space="preserve">98133</t>
  </si>
  <si>
    <t xml:space="preserve">SP1 DLS</t>
  </si>
  <si>
    <t xml:space="preserve">Particle counter</t>
  </si>
  <si>
    <t xml:space="preserve">200 mm, 300 mm</t>
  </si>
  <si>
    <t xml:space="preserve">98550</t>
  </si>
  <si>
    <t xml:space="preserve">SP1-DLS</t>
  </si>
  <si>
    <t xml:space="preserve">Darkfield Non-Pattern Inspection</t>
  </si>
  <si>
    <t xml:space="preserve">97450</t>
  </si>
  <si>
    <t xml:space="preserve">SP1-TBI</t>
  </si>
  <si>
    <t xml:space="preserve">Wafer Particle Inspection System</t>
  </si>
  <si>
    <t xml:space="preserve">98914</t>
  </si>
  <si>
    <t xml:space="preserve">Spectra FX-1000 HT</t>
  </si>
  <si>
    <t xml:space="preserve">Thin film measurement system</t>
  </si>
  <si>
    <t xml:space="preserve">97644</t>
  </si>
  <si>
    <t xml:space="preserve">SpectraCD 100</t>
  </si>
  <si>
    <t xml:space="preserve">98916</t>
  </si>
  <si>
    <t xml:space="preserve">Stealth 2350</t>
  </si>
  <si>
    <t xml:space="preserve">98858</t>
  </si>
  <si>
    <t xml:space="preserve">Surfscan 4500</t>
  </si>
  <si>
    <t xml:space="preserve">Unpatterned Wafer Surface Inspection</t>
  </si>
  <si>
    <t xml:space="preserve">96998</t>
  </si>
  <si>
    <t xml:space="preserve">Surfscan AIT 8010</t>
  </si>
  <si>
    <t xml:space="preserve">Patterned Wafer Inspection</t>
  </si>
  <si>
    <t xml:space="preserve">98917</t>
  </si>
  <si>
    <t xml:space="preserve">TP 420XP</t>
  </si>
  <si>
    <t xml:space="preserve">Post Implant measurement</t>
  </si>
  <si>
    <t xml:space="preserve">98552</t>
  </si>
  <si>
    <t xml:space="preserve">UV1050</t>
  </si>
  <si>
    <t xml:space="preserve">Film Thickness Measurement</t>
  </si>
  <si>
    <t xml:space="preserve">98553</t>
  </si>
  <si>
    <t xml:space="preserve">UV1080</t>
  </si>
  <si>
    <t xml:space="preserve">98404</t>
  </si>
  <si>
    <t xml:space="preserve">UV-1050</t>
  </si>
  <si>
    <t xml:space="preserve">Thin Film Measurement System</t>
  </si>
  <si>
    <t xml:space="preserve">98134</t>
  </si>
  <si>
    <t xml:space="preserve">Viper</t>
  </si>
  <si>
    <t xml:space="preserve">Macro Defect Detection System</t>
  </si>
  <si>
    <t xml:space="preserve">98918</t>
  </si>
  <si>
    <t xml:space="preserve">Viper 2401</t>
  </si>
  <si>
    <t xml:space="preserve">After Develop Inspection Tool</t>
  </si>
  <si>
    <t xml:space="preserve">97020</t>
  </si>
  <si>
    <t xml:space="preserve">VISEDGE_CV300</t>
  </si>
  <si>
    <t xml:space="preserve">Etch Inspection</t>
  </si>
  <si>
    <t xml:space="preserve">98061</t>
  </si>
  <si>
    <t xml:space="preserve">KLA-TENCOR	 	</t>
  </si>
  <si>
    <t xml:space="preserve">Dark field, particle inspection</t>
  </si>
  <si>
    <t xml:space="preserve">98031</t>
  </si>
  <si>
    <t xml:space="preserve">KLA-Tencor </t>
  </si>
  <si>
    <t xml:space="preserve">FX-200 (Initialized)</t>
  </si>
  <si>
    <t xml:space="preserve">Thin Film Measurement</t>
  </si>
  <si>
    <t xml:space="preserve">98032</t>
  </si>
  <si>
    <t xml:space="preserve">SFX100</t>
  </si>
  <si>
    <t xml:space="preserve">Thickness Measurement System</t>
  </si>
  <si>
    <t xml:space="preserve">98033</t>
  </si>
  <si>
    <t xml:space="preserve">SP1 TBI</t>
  </si>
  <si>
    <t xml:space="preserve">Unpatterned wafer inspection System</t>
  </si>
  <si>
    <t xml:space="preserve">98034</t>
  </si>
  <si>
    <t xml:space="preserve">SP2 (Parts Missing)</t>
  </si>
  <si>
    <t xml:space="preserve">Darkfield Wafer Particle Detection System</t>
  </si>
  <si>
    <t xml:space="preserve">99845</t>
  </si>
  <si>
    <t xml:space="preserve">KLA-Tencor 	</t>
  </si>
  <si>
    <t xml:space="preserve">2351</t>
  </si>
  <si>
    <t xml:space="preserve">Bright-Field Wafer Inspection System</t>
  </si>
  <si>
    <t xml:space="preserve">96997</t>
  </si>
  <si>
    <t xml:space="preserve">Surfscan AIT 8020</t>
  </si>
  <si>
    <t xml:space="preserve">Particle Review</t>
  </si>
  <si>
    <t xml:space="preserve">97201</t>
  </si>
  <si>
    <t xml:space="preserve">Kohyoung </t>
  </si>
  <si>
    <t xml:space="preserve">KY8030II-L </t>
  </si>
  <si>
    <t xml:space="preserve">AOI &amp; SPI</t>
  </si>
  <si>
    <t xml:space="preserve">97202</t>
  </si>
  <si>
    <t xml:space="preserve">KY8030XDL</t>
  </si>
  <si>
    <t xml:space="preserve">97203</t>
  </si>
  <si>
    <t xml:space="preserve">Zenith </t>
  </si>
  <si>
    <t xml:space="preserve">97211</t>
  </si>
  <si>
    <t xml:space="preserve">Kokusai</t>
  </si>
  <si>
    <t xml:space="preserve">BDF-41</t>
  </si>
  <si>
    <t xml:space="preserve">97044</t>
  </si>
  <si>
    <t xml:space="preserve">KOKUSAI</t>
  </si>
  <si>
    <t xml:space="preserve">BDF-200</t>
  </si>
  <si>
    <t xml:space="preserve">LPCVD Furnace</t>
  </si>
  <si>
    <t xml:space="preserve">96979</t>
  </si>
  <si>
    <t xml:space="preserve">DD823</t>
  </si>
  <si>
    <t xml:space="preserve">98001</t>
  </si>
  <si>
    <t xml:space="preserve">DD823-V</t>
  </si>
  <si>
    <t xml:space="preserve">Vertical Furnace Anneal(Mid. Temp)</t>
  </si>
  <si>
    <t xml:space="preserve">99942</t>
  </si>
  <si>
    <t xml:space="preserve">DD823V</t>
  </si>
  <si>
    <t xml:space="preserve">High Temp Dry Oxide Vertical furnace</t>
  </si>
  <si>
    <t xml:space="preserve">99941</t>
  </si>
  <si>
    <t xml:space="preserve">99940</t>
  </si>
  <si>
    <t xml:space="preserve">99007</t>
  </si>
  <si>
    <t xml:space="preserve">DD1223V</t>
  </si>
  <si>
    <t xml:space="preserve">99006</t>
  </si>
  <si>
    <t xml:space="preserve">97021</t>
  </si>
  <si>
    <t xml:space="preserve">Furnace LPCVD (BPSG)</t>
  </si>
  <si>
    <t xml:space="preserve">99012</t>
  </si>
  <si>
    <t xml:space="preserve">DD1223VN</t>
  </si>
  <si>
    <t xml:space="preserve">98808</t>
  </si>
  <si>
    <t xml:space="preserve">97022</t>
  </si>
  <si>
    <t xml:space="preserve">DD1223VNP</t>
  </si>
  <si>
    <t xml:space="preserve">99862</t>
  </si>
  <si>
    <t xml:space="preserve">DD-802V-H</t>
  </si>
  <si>
    <t xml:space="preserve">98966</t>
  </si>
  <si>
    <t xml:space="preserve">DD-853V</t>
  </si>
  <si>
    <t xml:space="preserve">Vertical Diffusion Furnace, Phosphor Anneal Process</t>
  </si>
  <si>
    <t xml:space="preserve">98963</t>
  </si>
  <si>
    <t xml:space="preserve">Vertical Diffusion Furnace, POCl3 and Phosphor Anneal Process</t>
  </si>
  <si>
    <t xml:space="preserve">98138</t>
  </si>
  <si>
    <t xml:space="preserve">DD-1206V-DF</t>
  </si>
  <si>
    <t xml:space="preserve">Gate OX</t>
  </si>
  <si>
    <t xml:space="preserve">98141</t>
  </si>
  <si>
    <t xml:space="preserve">Oxide undope</t>
  </si>
  <si>
    <t xml:space="preserve">98140</t>
  </si>
  <si>
    <t xml:space="preserve">98139</t>
  </si>
  <si>
    <t xml:space="preserve">98137</t>
  </si>
  <si>
    <t xml:space="preserve">98136</t>
  </si>
  <si>
    <t xml:space="preserve">98135</t>
  </si>
  <si>
    <t xml:space="preserve">99938</t>
  </si>
  <si>
    <t xml:space="preserve">DD-1223V</t>
  </si>
  <si>
    <t xml:space="preserve">PYRO-Vertical furnace</t>
  </si>
  <si>
    <t xml:space="preserve">98142</t>
  </si>
  <si>
    <t xml:space="preserve">DD-1223VN</t>
  </si>
  <si>
    <t xml:space="preserve">TIN</t>
  </si>
  <si>
    <t xml:space="preserve">98143</t>
  </si>
  <si>
    <t xml:space="preserve">DD-1236VN-DF</t>
  </si>
  <si>
    <t xml:space="preserve">14XM LT Steam Anneal, SOD(WVG)</t>
  </si>
  <si>
    <t xml:space="preserve">99008</t>
  </si>
  <si>
    <t xml:space="preserve">DJ1206VN</t>
  </si>
  <si>
    <t xml:space="preserve">98810</t>
  </si>
  <si>
    <t xml:space="preserve">98809</t>
  </si>
  <si>
    <t xml:space="preserve">99009</t>
  </si>
  <si>
    <t xml:space="preserve">DJ1223VN</t>
  </si>
  <si>
    <t xml:space="preserve">98811</t>
  </si>
  <si>
    <t xml:space="preserve">99004</t>
  </si>
  <si>
    <t xml:space="preserve">DJ1223VN-CX3</t>
  </si>
  <si>
    <t xml:space="preserve">99003</t>
  </si>
  <si>
    <t xml:space="preserve">98812</t>
  </si>
  <si>
    <t xml:space="preserve">98967</t>
  </si>
  <si>
    <t xml:space="preserve">DJ-835V</t>
  </si>
  <si>
    <t xml:space="preserve">Vertical Diffusion Furnace, D-Poly Si Process, PH3 doping</t>
  </si>
  <si>
    <t xml:space="preserve">99939</t>
  </si>
  <si>
    <t xml:space="preserve">DJ-1206VN-DF</t>
  </si>
  <si>
    <t xml:space="preserve">TiN - Vertical furnace</t>
  </si>
  <si>
    <t xml:space="preserve">98144</t>
  </si>
  <si>
    <t xml:space="preserve">DJ-1236VN-DF</t>
  </si>
  <si>
    <t xml:space="preserve">97023</t>
  </si>
  <si>
    <t xml:space="preserve">Quixace (DJ-1206VN)</t>
  </si>
  <si>
    <t xml:space="preserve">PECVD Nitride</t>
  </si>
  <si>
    <t xml:space="preserve">100190</t>
  </si>
  <si>
    <t xml:space="preserve">Quixace II</t>
  </si>
  <si>
    <t xml:space="preserve">100189</t>
  </si>
  <si>
    <t xml:space="preserve">100191</t>
  </si>
  <si>
    <t xml:space="preserve">Quixace II ALD High-k</t>
  </si>
  <si>
    <t xml:space="preserve">97660</t>
  </si>
  <si>
    <t xml:space="preserve">100195</t>
  </si>
  <si>
    <t xml:space="preserve">Quixace II Doped Poly</t>
  </si>
  <si>
    <t xml:space="preserve">100194</t>
  </si>
  <si>
    <t xml:space="preserve">100193</t>
  </si>
  <si>
    <t xml:space="preserve">100192</t>
  </si>
  <si>
    <t xml:space="preserve">100203</t>
  </si>
  <si>
    <t xml:space="preserve">Quixace II Nitride</t>
  </si>
  <si>
    <t xml:space="preserve">100202</t>
  </si>
  <si>
    <t xml:space="preserve">100201</t>
  </si>
  <si>
    <t xml:space="preserve">100200</t>
  </si>
  <si>
    <t xml:space="preserve">100199</t>
  </si>
  <si>
    <t xml:space="preserve">100198</t>
  </si>
  <si>
    <t xml:space="preserve">100197</t>
  </si>
  <si>
    <t xml:space="preserve">100196</t>
  </si>
  <si>
    <t xml:space="preserve">97667</t>
  </si>
  <si>
    <t xml:space="preserve">Quixace Nitride</t>
  </si>
  <si>
    <t xml:space="preserve">97665</t>
  </si>
  <si>
    <t xml:space="preserve">97936</t>
  </si>
  <si>
    <t xml:space="preserve">KOMATSU NTC</t>
  </si>
  <si>
    <t xml:space="preserve">PV500D (Chiller, TR included)</t>
  </si>
  <si>
    <t xml:space="preserve">DIAMOND WIRE SAW</t>
  </si>
  <si>
    <t xml:space="preserve">97937</t>
  </si>
  <si>
    <t xml:space="preserve">PV500FD</t>
  </si>
  <si>
    <t xml:space="preserve">97160</t>
  </si>
  <si>
    <t xml:space="preserve">KOMORI</t>
  </si>
  <si>
    <t xml:space="preserve">GL540 +CX</t>
  </si>
  <si>
    <t xml:space="preserve">97152</t>
  </si>
  <si>
    <t xml:space="preserve">Komori</t>
  </si>
  <si>
    <t xml:space="preserve">Lithrone L420</t>
  </si>
  <si>
    <t xml:space="preserve">99964</t>
  </si>
  <si>
    <t xml:space="preserve">Lithrone L528+C EM</t>
  </si>
  <si>
    <t xml:space="preserve">99963</t>
  </si>
  <si>
    <t xml:space="preserve">Lithrone L628 EM</t>
  </si>
  <si>
    <t xml:space="preserve">99881</t>
  </si>
  <si>
    <t xml:space="preserve">Lithrone LS1040P</t>
  </si>
  <si>
    <t xml:space="preserve">98543</t>
  </si>
  <si>
    <t xml:space="preserve">SPRINT II 228</t>
  </si>
  <si>
    <t xml:space="preserve">97153</t>
  </si>
  <si>
    <t xml:space="preserve">Komori </t>
  </si>
  <si>
    <t xml:space="preserve">Lithrone GL537-CX</t>
  </si>
  <si>
    <t xml:space="preserve">97154</t>
  </si>
  <si>
    <t xml:space="preserve">Lithrone GL840P ( 8 + 0 / 4 + 4 )</t>
  </si>
  <si>
    <t xml:space="preserve">97155</t>
  </si>
  <si>
    <t xml:space="preserve">Lithrone L540 P (5 + 0 / 2 + 3 )</t>
  </si>
  <si>
    <t xml:space="preserve">97156</t>
  </si>
  <si>
    <t xml:space="preserve">Lithrone L628 +CX</t>
  </si>
  <si>
    <t xml:space="preserve">97157</t>
  </si>
  <si>
    <t xml:space="preserve">Lithrone L640 +C</t>
  </si>
  <si>
    <t xml:space="preserve">97158</t>
  </si>
  <si>
    <t xml:space="preserve">Lithrone LS529 +C (H)</t>
  </si>
  <si>
    <t xml:space="preserve">97159</t>
  </si>
  <si>
    <t xml:space="preserve">Lithrone LS529 +C (H) UV</t>
  </si>
  <si>
    <t xml:space="preserve">100036</t>
  </si>
  <si>
    <t xml:space="preserve">KOSES</t>
  </si>
  <si>
    <t xml:space="preserve">KLM405</t>
  </si>
  <si>
    <t xml:space="preserve">100035</t>
  </si>
  <si>
    <t xml:space="preserve">100034</t>
  </si>
  <si>
    <t xml:space="preserve">97865</t>
  </si>
  <si>
    <t xml:space="preserve">KRUSS</t>
  </si>
  <si>
    <t xml:space="preserve">KRUSSDSA100</t>
  </si>
  <si>
    <t xml:space="preserve">CONTECT ANGLE MEASUREMENT</t>
  </si>
  <si>
    <t xml:space="preserve">100359</t>
  </si>
  <si>
    <t xml:space="preserve">KUKA Systems</t>
  </si>
  <si>
    <t xml:space="preserve">JBS</t>
  </si>
  <si>
    <t xml:space="preserve">J-Box Setting System</t>
  </si>
  <si>
    <t xml:space="preserve">99916</t>
  </si>
  <si>
    <t xml:space="preserve">LAM Research</t>
  </si>
  <si>
    <t xml:space="preserve">2300 e4 FLEX DL (3CH)</t>
  </si>
  <si>
    <t xml:space="preserve">100205</t>
  </si>
  <si>
    <t xml:space="preserve">2300 Exelan Flex - Chamber Only</t>
  </si>
  <si>
    <t xml:space="preserve">100204</t>
  </si>
  <si>
    <t xml:space="preserve">99186</t>
  </si>
  <si>
    <t xml:space="preserve">Dielectric Etch (Chamber Only)</t>
  </si>
  <si>
    <t xml:space="preserve">99184</t>
  </si>
  <si>
    <t xml:space="preserve">2300 Exelan Flex (chamber)</t>
  </si>
  <si>
    <t xml:space="preserve">97681</t>
  </si>
  <si>
    <t xml:space="preserve">2300 Exelan Flex EX</t>
  </si>
  <si>
    <t xml:space="preserve">Dielectric Etch 3 chamber</t>
  </si>
  <si>
    <t xml:space="preserve">97680</t>
  </si>
  <si>
    <t xml:space="preserve">97679</t>
  </si>
  <si>
    <t xml:space="preserve">97678</t>
  </si>
  <si>
    <t xml:space="preserve">97677</t>
  </si>
  <si>
    <t xml:space="preserve">100207</t>
  </si>
  <si>
    <t xml:space="preserve">2300 Exelan Flex EX+</t>
  </si>
  <si>
    <t xml:space="preserve">100206</t>
  </si>
  <si>
    <t xml:space="preserve">99188</t>
  </si>
  <si>
    <t xml:space="preserve">97683</t>
  </si>
  <si>
    <t xml:space="preserve">97682</t>
  </si>
  <si>
    <t xml:space="preserve">96880</t>
  </si>
  <si>
    <t xml:space="preserve">98146</t>
  </si>
  <si>
    <t xml:space="preserve">Lam Research</t>
  </si>
  <si>
    <t xml:space="preserve">2300 Exelan Flex45</t>
  </si>
  <si>
    <t xml:space="preserve">Oxide Etcher</t>
  </si>
  <si>
    <t xml:space="preserve">99015</t>
  </si>
  <si>
    <t xml:space="preserve">2300 FLEX Exelan</t>
  </si>
  <si>
    <t xml:space="preserve">99014</t>
  </si>
  <si>
    <t xml:space="preserve">99013</t>
  </si>
  <si>
    <t xml:space="preserve">100208</t>
  </si>
  <si>
    <t xml:space="preserve">2300 KIYO MCX</t>
  </si>
  <si>
    <t xml:space="preserve">98347</t>
  </si>
  <si>
    <t xml:space="preserve">2300 KIYO45</t>
  </si>
  <si>
    <t xml:space="preserve">98346</t>
  </si>
  <si>
    <t xml:space="preserve">98824</t>
  </si>
  <si>
    <t xml:space="preserve">2300 KIYO-45</t>
  </si>
  <si>
    <t xml:space="preserve">97004</t>
  </si>
  <si>
    <t xml:space="preserve">LAM RESEARCH</t>
  </si>
  <si>
    <t xml:space="preserve">2300 Metal 45</t>
  </si>
  <si>
    <t xml:space="preserve">Process Chamber (For Spares Use)</t>
  </si>
  <si>
    <t xml:space="preserve">98278</t>
  </si>
  <si>
    <t xml:space="preserve">2300 MWAVE STRPR</t>
  </si>
  <si>
    <t xml:space="preserve">Asher/Stripper</t>
  </si>
  <si>
    <t xml:space="preserve">98277</t>
  </si>
  <si>
    <t xml:space="preserve">98276</t>
  </si>
  <si>
    <t xml:space="preserve">97690</t>
  </si>
  <si>
    <t xml:space="preserve">2300 SELIS - Chamber Only</t>
  </si>
  <si>
    <t xml:space="preserve">Dielectric Etch – Process Chamber</t>
  </si>
  <si>
    <t xml:space="preserve">99917</t>
  </si>
  <si>
    <t xml:space="preserve">2300 V2 (2CH &amp; 1STRIP)</t>
  </si>
  <si>
    <t xml:space="preserve">99918</t>
  </si>
  <si>
    <t xml:space="preserve">2300 V2 FLEX (3CH)</t>
  </si>
  <si>
    <t xml:space="preserve">97231</t>
  </si>
  <si>
    <t xml:space="preserve">2300FLEX45</t>
  </si>
  <si>
    <t xml:space="preserve">97230</t>
  </si>
  <si>
    <t xml:space="preserve">97229</t>
  </si>
  <si>
    <t xml:space="preserve">97228</t>
  </si>
  <si>
    <t xml:space="preserve">97227</t>
  </si>
  <si>
    <t xml:space="preserve">97236</t>
  </si>
  <si>
    <t xml:space="preserve">2300KIYO45</t>
  </si>
  <si>
    <t xml:space="preserve">97235</t>
  </si>
  <si>
    <t xml:space="preserve">97234</t>
  </si>
  <si>
    <t xml:space="preserve">97233</t>
  </si>
  <si>
    <t xml:space="preserve">97232</t>
  </si>
  <si>
    <t xml:space="preserve">98820</t>
  </si>
  <si>
    <t xml:space="preserve">2300METAL-CIP</t>
  </si>
  <si>
    <t xml:space="preserve">98821</t>
  </si>
  <si>
    <t xml:space="preserve">2300MWAVE STRPR</t>
  </si>
  <si>
    <t xml:space="preserve">Stripper</t>
  </si>
  <si>
    <t xml:space="preserve">98859</t>
  </si>
  <si>
    <t xml:space="preserve">4420</t>
  </si>
  <si>
    <t xml:space="preserve">Poly Etch</t>
  </si>
  <si>
    <t xml:space="preserve">100792</t>
  </si>
  <si>
    <t xml:space="preserve">4520i </t>
  </si>
  <si>
    <t xml:space="preserve">Isotropic Oxide Etcher</t>
  </si>
  <si>
    <t xml:space="preserve">99991</t>
  </si>
  <si>
    <t xml:space="preserve">4528XL</t>
  </si>
  <si>
    <t xml:space="preserve">99863</t>
  </si>
  <si>
    <t xml:space="preserve">9400</t>
  </si>
  <si>
    <t xml:space="preserve">100212</t>
  </si>
  <si>
    <t xml:space="preserve">2300e4 KIYO MCX</t>
  </si>
  <si>
    <t xml:space="preserve">100211</t>
  </si>
  <si>
    <t xml:space="preserve">100210</t>
  </si>
  <si>
    <t xml:space="preserve">100209</t>
  </si>
  <si>
    <t xml:space="preserve">100217</t>
  </si>
  <si>
    <t xml:space="preserve">2300e5 KIYO 45</t>
  </si>
  <si>
    <t xml:space="preserve">100216</t>
  </si>
  <si>
    <t xml:space="preserve">100215</t>
  </si>
  <si>
    <t xml:space="preserve">100214</t>
  </si>
  <si>
    <t xml:space="preserve">100213</t>
  </si>
  <si>
    <t xml:space="preserve">99195</t>
  </si>
  <si>
    <t xml:space="preserve">99194</t>
  </si>
  <si>
    <t xml:space="preserve">99992</t>
  </si>
  <si>
    <t xml:space="preserve">A6 9608PTX</t>
  </si>
  <si>
    <t xml:space="preserve">98348</t>
  </si>
  <si>
    <t xml:space="preserve">Alliance4 4420XL PM</t>
  </si>
  <si>
    <t xml:space="preserve">99919</t>
  </si>
  <si>
    <t xml:space="preserve">Alliance6 9400DFM (3CH)</t>
  </si>
  <si>
    <t xml:space="preserve">99920</t>
  </si>
  <si>
    <t xml:space="preserve">Alliance6 9400PTX (3CH)</t>
  </si>
  <si>
    <t xml:space="preserve">99018</t>
  </si>
  <si>
    <t xml:space="preserve">ALTUS</t>
  </si>
  <si>
    <t xml:space="preserve">97241</t>
  </si>
  <si>
    <t xml:space="preserve">97240</t>
  </si>
  <si>
    <t xml:space="preserve">97239</t>
  </si>
  <si>
    <t xml:space="preserve">97238</t>
  </si>
  <si>
    <t xml:space="preserve">97237</t>
  </si>
  <si>
    <t xml:space="preserve">99019</t>
  </si>
  <si>
    <t xml:space="preserve">99017</t>
  </si>
  <si>
    <t xml:space="preserve">99016</t>
  </si>
  <si>
    <t xml:space="preserve">99020</t>
  </si>
  <si>
    <t xml:space="preserve">EXTRIMA3100</t>
  </si>
  <si>
    <t xml:space="preserve">98822</t>
  </si>
  <si>
    <t xml:space="preserve">99021</t>
  </si>
  <si>
    <t xml:space="preserve">FLEX FX EFEM</t>
  </si>
  <si>
    <t xml:space="preserve">98823</t>
  </si>
  <si>
    <t xml:space="preserve">FLEX45</t>
  </si>
  <si>
    <t xml:space="preserve">98280</t>
  </si>
  <si>
    <t xml:space="preserve">FLEX GX E6</t>
  </si>
  <si>
    <t xml:space="preserve">OXIDE ETCH</t>
  </si>
  <si>
    <t xml:space="preserve">98279</t>
  </si>
  <si>
    <t xml:space="preserve">99022</t>
  </si>
  <si>
    <t xml:space="preserve">FLEX_FX</t>
  </si>
  <si>
    <t xml:space="preserve">99023</t>
  </si>
  <si>
    <t xml:space="preserve">FLEX-DS</t>
  </si>
  <si>
    <t xml:space="preserve">99024</t>
  </si>
  <si>
    <t xml:space="preserve">KIYO-EX</t>
  </si>
  <si>
    <t xml:space="preserve">99864</t>
  </si>
  <si>
    <t xml:space="preserve">ONTRACK S2 Classic</t>
  </si>
  <si>
    <t xml:space="preserve">98473</t>
  </si>
  <si>
    <t xml:space="preserve">Ontrak DSS-200</t>
  </si>
  <si>
    <t xml:space="preserve">Post CMP cleaner</t>
  </si>
  <si>
    <t xml:space="preserve">99056</t>
  </si>
  <si>
    <t xml:space="preserve">Rainbow 4520 ENV</t>
  </si>
  <si>
    <t xml:space="preserve">99993</t>
  </si>
  <si>
    <t xml:space="preserve">RB4420</t>
  </si>
  <si>
    <t xml:space="preserve">Poly Etcher  </t>
  </si>
  <si>
    <t xml:space="preserve">99994</t>
  </si>
  <si>
    <t xml:space="preserve">RB4520</t>
  </si>
  <si>
    <t xml:space="preserve">99921</t>
  </si>
  <si>
    <t xml:space="preserve">SPEED</t>
  </si>
  <si>
    <t xml:space="preserve">HDP CVD</t>
  </si>
  <si>
    <t xml:space="preserve">99922</t>
  </si>
  <si>
    <t xml:space="preserve">TCP9400SE</t>
  </si>
  <si>
    <t xml:space="preserve">Dry Etcher</t>
  </si>
  <si>
    <t xml:space="preserve">99923</t>
  </si>
  <si>
    <t xml:space="preserve">TCP9600SE</t>
  </si>
  <si>
    <t xml:space="preserve">98826</t>
  </si>
  <si>
    <t xml:space="preserve">TORUS300</t>
  </si>
  <si>
    <t xml:space="preserve">99924</t>
  </si>
  <si>
    <t xml:space="preserve">TORUS300S</t>
  </si>
  <si>
    <t xml:space="preserve">98350</t>
  </si>
  <si>
    <t xml:space="preserve">VECTOR</t>
  </si>
  <si>
    <t xml:space="preserve">98349</t>
  </si>
  <si>
    <t xml:space="preserve">97242</t>
  </si>
  <si>
    <t xml:space="preserve">100037</t>
  </si>
  <si>
    <t xml:space="preserve">Vector Express</t>
  </si>
  <si>
    <t xml:space="preserve">98612</t>
  </si>
  <si>
    <t xml:space="preserve">VECTOR EXPRESS</t>
  </si>
  <si>
    <t xml:space="preserve">99025</t>
  </si>
  <si>
    <t xml:space="preserve">VECTOR-EXTREME</t>
  </si>
  <si>
    <t xml:space="preserve">98827</t>
  </si>
  <si>
    <t xml:space="preserve">98057</t>
  </si>
  <si>
    <t xml:space="preserve">Lasertech</t>
  </si>
  <si>
    <t xml:space="preserve">M8351</t>
  </si>
  <si>
    <t xml:space="preserve">RESIST PATTERNED AND BLANK INSPECTION</t>
  </si>
  <si>
    <t xml:space="preserve">100859</t>
  </si>
  <si>
    <t xml:space="preserve">Lauffer</t>
  </si>
  <si>
    <t xml:space="preserve">100714</t>
  </si>
  <si>
    <t xml:space="preserve">LAURIER</t>
  </si>
  <si>
    <t xml:space="preserve">DS9000</t>
  </si>
  <si>
    <t xml:space="preserve">DIE SORTER</t>
  </si>
  <si>
    <t xml:space="preserve">100038</t>
  </si>
  <si>
    <t xml:space="preserve">Laurier</t>
  </si>
  <si>
    <t xml:space="preserve">DS-900</t>
  </si>
  <si>
    <t xml:space="preserve">Die Sorter</t>
  </si>
  <si>
    <t xml:space="preserve">98919</t>
  </si>
  <si>
    <t xml:space="preserve">DS-7000 </t>
  </si>
  <si>
    <t xml:space="preserve">Pick and Place System</t>
  </si>
  <si>
    <t xml:space="preserve">97074</t>
  </si>
  <si>
    <t xml:space="preserve">Leica</t>
  </si>
  <si>
    <t xml:space="preserve">IMN100</t>
  </si>
  <si>
    <t xml:space="preserve">020-657.101-000</t>
  </si>
  <si>
    <t xml:space="preserve">97076</t>
  </si>
  <si>
    <t xml:space="preserve">INM100</t>
  </si>
  <si>
    <t xml:space="preserve">020-657.003-000</t>
  </si>
  <si>
    <t xml:space="preserve">97075</t>
  </si>
  <si>
    <t xml:space="preserve">100678</t>
  </si>
  <si>
    <t xml:space="preserve">INM 20</t>
  </si>
  <si>
    <t xml:space="preserve">Leica Microscope</t>
  </si>
  <si>
    <t xml:space="preserve">MICROSCOPE</t>
  </si>
  <si>
    <t xml:space="preserve">98920</t>
  </si>
  <si>
    <t xml:space="preserve">INM 300 </t>
  </si>
  <si>
    <t xml:space="preserve">Microscope</t>
  </si>
  <si>
    <t xml:space="preserve">97106</t>
  </si>
  <si>
    <t xml:space="preserve">MZ 12.5</t>
  </si>
  <si>
    <t xml:space="preserve">Stereomicroscope</t>
  </si>
  <si>
    <t xml:space="preserve">99878</t>
  </si>
  <si>
    <t xml:space="preserve">S8APO</t>
  </si>
  <si>
    <t xml:space="preserve">3-D Microscope </t>
  </si>
  <si>
    <t xml:space="preserve">97866</t>
  </si>
  <si>
    <t xml:space="preserve">WILD M8</t>
  </si>
  <si>
    <t xml:space="preserve">STEREO MICROSCOPE</t>
  </si>
  <si>
    <t xml:space="preserve">99841</t>
  </si>
  <si>
    <t xml:space="preserve">LEITZ</t>
  </si>
  <si>
    <t xml:space="preserve">Ergolux</t>
  </si>
  <si>
    <t xml:space="preserve">99840</t>
  </si>
  <si>
    <t xml:space="preserve">Secolux 6 x 6</t>
  </si>
  <si>
    <t xml:space="preserve">Microscope with 6 inch stage</t>
  </si>
  <si>
    <t xml:space="preserve">100860</t>
  </si>
  <si>
    <t xml:space="preserve">Lenz DLG 615- 1+1 AL</t>
  </si>
  <si>
    <t xml:space="preserve">DLG 615 -1+1</t>
  </si>
  <si>
    <t xml:space="preserve">High Precision Drilling/Routing Machine</t>
  </si>
  <si>
    <t xml:space="preserve">97084</t>
  </si>
  <si>
    <t xml:space="preserve">LEYBOLD</t>
  </si>
  <si>
    <t xml:space="preserve">TURBO VAC 1000C</t>
  </si>
  <si>
    <t xml:space="preserve">Turbo Pump</t>
  </si>
  <si>
    <t xml:space="preserve">97938</t>
  </si>
  <si>
    <t xml:space="preserve">LINTEC</t>
  </si>
  <si>
    <t xml:space="preserve">RAD-2500F/8</t>
  </si>
  <si>
    <t xml:space="preserve">98921</t>
  </si>
  <si>
    <t xml:space="preserve">Lintec</t>
  </si>
  <si>
    <t xml:space="preserve">Wafer Mounter</t>
  </si>
  <si>
    <t xml:space="preserve">97939</t>
  </si>
  <si>
    <t xml:space="preserve">RAD-3000/F8</t>
  </si>
  <si>
    <t xml:space="preserve">TAPE REMOVER</t>
  </si>
  <si>
    <t xml:space="preserve">98147</t>
  </si>
  <si>
    <t xml:space="preserve">RAD-3500F/8</t>
  </si>
  <si>
    <t xml:space="preserve">Taper</t>
  </si>
  <si>
    <t xml:space="preserve">97940</t>
  </si>
  <si>
    <t xml:space="preserve">RAD-3500F/12</t>
  </si>
  <si>
    <t xml:space="preserve">TAPER</t>
  </si>
  <si>
    <t xml:space="preserve">97893</t>
  </si>
  <si>
    <t xml:space="preserve">LINTECH</t>
  </si>
  <si>
    <t xml:space="preserve">RAD-2000m/8</t>
  </si>
  <si>
    <t xml:space="preserve">UV Irradiation</t>
  </si>
  <si>
    <t xml:space="preserve">99842</t>
  </si>
  <si>
    <t xml:space="preserve">LOGITECH</t>
  </si>
  <si>
    <t xml:space="preserve">PM5</t>
  </si>
  <si>
    <t xml:space="preserve">LABORATORY Polisher</t>
  </si>
  <si>
    <t xml:space="preserve">100646</t>
  </si>
  <si>
    <t xml:space="preserve">Longhill</t>
  </si>
  <si>
    <t xml:space="preserve">LH860</t>
  </si>
  <si>
    <t xml:space="preserve">98730</t>
  </si>
  <si>
    <t xml:space="preserve">LOTUS</t>
  </si>
  <si>
    <t xml:space="preserve">Spray Cleaner</t>
  </si>
  <si>
    <t xml:space="preserve">WET Clean</t>
  </si>
  <si>
    <t xml:space="preserve">98405</t>
  </si>
  <si>
    <t xml:space="preserve">Lumonics</t>
  </si>
  <si>
    <t xml:space="preserve">Wafermark II</t>
  </si>
  <si>
    <t xml:space="preserve">Laserscribe</t>
  </si>
  <si>
    <t xml:space="preserve">97163</t>
  </si>
  <si>
    <t xml:space="preserve">Man Roland </t>
  </si>
  <si>
    <t xml:space="preserve">R702 P ( 2 + 0 / 1 + 1)</t>
  </si>
  <si>
    <t xml:space="preserve">97164</t>
  </si>
  <si>
    <t xml:space="preserve">R702 P ( 2 + 0 / 1 + 1) Hi Print</t>
  </si>
  <si>
    <t xml:space="preserve">97166</t>
  </si>
  <si>
    <t xml:space="preserve">R704 HI Print</t>
  </si>
  <si>
    <t xml:space="preserve">97165</t>
  </si>
  <si>
    <t xml:space="preserve">97167</t>
  </si>
  <si>
    <t xml:space="preserve">R704 HI Print New Machine</t>
  </si>
  <si>
    <t xml:space="preserve">97168</t>
  </si>
  <si>
    <t xml:space="preserve">R705</t>
  </si>
  <si>
    <t xml:space="preserve">97169</t>
  </si>
  <si>
    <t xml:space="preserve">R706+LV (UV) New Machine</t>
  </si>
  <si>
    <t xml:space="preserve">97170</t>
  </si>
  <si>
    <t xml:space="preserve">R708 P+LV ( 8 + 0 / 2 + 6 ) HI Print</t>
  </si>
  <si>
    <t xml:space="preserve">97172</t>
  </si>
  <si>
    <t xml:space="preserve">R905-8 – UV</t>
  </si>
  <si>
    <t xml:space="preserve">97173</t>
  </si>
  <si>
    <t xml:space="preserve">R906-6+L</t>
  </si>
  <si>
    <t xml:space="preserve">100362</t>
  </si>
  <si>
    <t xml:space="preserve">Manz Taiwan</t>
  </si>
  <si>
    <t xml:space="preserve">GCI - Initial Cleaner : GCT 1400D</t>
  </si>
  <si>
    <t xml:space="preserve">Incoming glass cleaning system (GCI)</t>
  </si>
  <si>
    <t xml:space="preserve">97941</t>
  </si>
  <si>
    <t xml:space="preserve">March</t>
  </si>
  <si>
    <t xml:space="preserve">PX1000</t>
  </si>
  <si>
    <t xml:space="preserve">PLASMA CLEANER</t>
  </si>
  <si>
    <t xml:space="preserve">100647</t>
  </si>
  <si>
    <t xml:space="preserve">Xtrack</t>
  </si>
  <si>
    <t xml:space="preserve">Plasma Treatment System</t>
  </si>
  <si>
    <t xml:space="preserve">97698</t>
  </si>
  <si>
    <t xml:space="preserve">Matheson Tri-Gas, Inc.</t>
  </si>
  <si>
    <t xml:space="preserve">SEMI-GAS</t>
  </si>
  <si>
    <t xml:space="preserve">Chemical/Gas Storage &amp; Delivery</t>
  </si>
  <si>
    <t xml:space="preserve">98406</t>
  </si>
  <si>
    <t xml:space="preserve">Matrix</t>
  </si>
  <si>
    <t xml:space="preserve">105</t>
  </si>
  <si>
    <t xml:space="preserve">Plasma Asher</t>
  </si>
  <si>
    <t xml:space="preserve">98148</t>
  </si>
  <si>
    <t xml:space="preserve">Mattson</t>
  </si>
  <si>
    <t xml:space="preserve">Aspen 3 Lite</t>
  </si>
  <si>
    <t xml:space="preserve">LITE ETCHER</t>
  </si>
  <si>
    <t xml:space="preserve">100218</t>
  </si>
  <si>
    <t xml:space="preserve">Aspen III ICPHT</t>
  </si>
  <si>
    <t xml:space="preserve">98149</t>
  </si>
  <si>
    <t xml:space="preserve">AST3000</t>
  </si>
  <si>
    <t xml:space="preserve">98828</t>
  </si>
  <si>
    <t xml:space="preserve">MATTSON</t>
  </si>
  <si>
    <t xml:space="preserve">HELIOS</t>
  </si>
  <si>
    <t xml:space="preserve">99026</t>
  </si>
  <si>
    <t xml:space="preserve">98282</t>
  </si>
  <si>
    <t xml:space="preserve">98281</t>
  </si>
  <si>
    <t xml:space="preserve">98151</t>
  </si>
  <si>
    <t xml:space="preserve">Helios</t>
  </si>
  <si>
    <t xml:space="preserve">98150</t>
  </si>
  <si>
    <t xml:space="preserve">98004</t>
  </si>
  <si>
    <t xml:space="preserve">RTP CLEAN OX </t>
  </si>
  <si>
    <t xml:space="preserve">98152</t>
  </si>
  <si>
    <t xml:space="preserve">ParadigmE</t>
  </si>
  <si>
    <t xml:space="preserve">Etch</t>
  </si>
  <si>
    <t xml:space="preserve">98283</t>
  </si>
  <si>
    <t xml:space="preserve">PARADIGME SI</t>
  </si>
  <si>
    <t xml:space="preserve">Dry Strip</t>
  </si>
  <si>
    <t xml:space="preserve">98284</t>
  </si>
  <si>
    <t xml:space="preserve">98829</t>
  </si>
  <si>
    <t xml:space="preserve">PARADIGME-POLY</t>
  </si>
  <si>
    <t xml:space="preserve">98830</t>
  </si>
  <si>
    <t xml:space="preserve">SUPREMA</t>
  </si>
  <si>
    <t xml:space="preserve">98288</t>
  </si>
  <si>
    <t xml:space="preserve">SUPREMA IM</t>
  </si>
  <si>
    <t xml:space="preserve">98287</t>
  </si>
  <si>
    <t xml:space="preserve">98286</t>
  </si>
  <si>
    <t xml:space="preserve">98285</t>
  </si>
  <si>
    <t xml:space="preserve">100732</t>
  </si>
  <si>
    <t xml:space="preserve">Maxis</t>
  </si>
  <si>
    <t xml:space="preserve">300LAH</t>
  </si>
  <si>
    <t xml:space="preserve">ICP Etcher</t>
  </si>
  <si>
    <t xml:space="preserve">98545</t>
  </si>
  <si>
    <t xml:space="preserve">MBO</t>
  </si>
  <si>
    <t xml:space="preserve">T 72 / 6 – 4 – 2</t>
  </si>
  <si>
    <t xml:space="preserve">98351</t>
  </si>
  <si>
    <t xml:space="preserve">MCL</t>
  </si>
  <si>
    <t xml:space="preserve">RAM-8500 II</t>
  </si>
  <si>
    <t xml:space="preserve">P/R STRIPPER</t>
  </si>
  <si>
    <t xml:space="preserve">98020</t>
  </si>
  <si>
    <t xml:space="preserve">MDC</t>
  </si>
  <si>
    <t xml:space="preserve">CMT-SR2000N</t>
  </si>
  <si>
    <t xml:space="preserve">Resistivity Measurement System</t>
  </si>
  <si>
    <t xml:space="preserve">99419</t>
  </si>
  <si>
    <t xml:space="preserve">CSM</t>
  </si>
  <si>
    <t xml:space="preserve">Automatic CV Plotter with RM-1600 Computer</t>
  </si>
  <si>
    <t xml:space="preserve">99420</t>
  </si>
  <si>
    <t xml:space="preserve">CSM/16</t>
  </si>
  <si>
    <t xml:space="preserve">125 MM</t>
  </si>
  <si>
    <t xml:space="preserve">98407</t>
  </si>
  <si>
    <t xml:space="preserve">MDS</t>
  </si>
  <si>
    <t xml:space="preserve">CV92A</t>
  </si>
  <si>
    <t xml:space="preserve">Mapper</t>
  </si>
  <si>
    <t xml:space="preserve">98474</t>
  </si>
  <si>
    <t xml:space="preserve">MECS</t>
  </si>
  <si>
    <t xml:space="preserve">OF 250</t>
  </si>
  <si>
    <t xml:space="preserve">wafer pre-aligner(Hitachi CDSEM 8820/8840)</t>
  </si>
  <si>
    <t xml:space="preserve">98475</t>
  </si>
  <si>
    <t xml:space="preserve">UTC 800</t>
  </si>
  <si>
    <t xml:space="preserve">atmospheric wafer handling robot( WJ-999)</t>
  </si>
  <si>
    <t xml:space="preserve">150/200mm</t>
  </si>
  <si>
    <t xml:space="preserve">98476</t>
  </si>
  <si>
    <t xml:space="preserve">UTC 801P</t>
  </si>
  <si>
    <t xml:space="preserve">atmospheric wafer handling robot( WJ-1000</t>
  </si>
  <si>
    <t xml:space="preserve">98477</t>
  </si>
  <si>
    <t xml:space="preserve">UTX 1100</t>
  </si>
  <si>
    <t xml:space="preserve">atmospheric wafer handling robot(ASM eagle-10)</t>
  </si>
  <si>
    <t xml:space="preserve">98478</t>
  </si>
  <si>
    <t xml:space="preserve">UTX 1200</t>
  </si>
  <si>
    <t xml:space="preserve">97942</t>
  </si>
  <si>
    <t xml:space="preserve">MEYER BURGER</t>
  </si>
  <si>
    <t xml:space="preserve">OC288</t>
  </si>
  <si>
    <t xml:space="preserve">98005</t>
  </si>
  <si>
    <t xml:space="preserve">MicoMetrics</t>
  </si>
  <si>
    <t xml:space="preserve">Precis</t>
  </si>
  <si>
    <t xml:space="preserve">99421</t>
  </si>
  <si>
    <t xml:space="preserve">Micro Automation</t>
  </si>
  <si>
    <t xml:space="preserve">16744</t>
  </si>
  <si>
    <t xml:space="preserve">Dicing Wheel</t>
  </si>
  <si>
    <t xml:space="preserve">62</t>
  </si>
  <si>
    <t xml:space="preserve">100733</t>
  </si>
  <si>
    <t xml:space="preserve">Micro Vu</t>
  </si>
  <si>
    <t xml:space="preserve">Vertex 420</t>
  </si>
  <si>
    <t xml:space="preserve">Measurement Machine</t>
  </si>
  <si>
    <t xml:space="preserve">98006</t>
  </si>
  <si>
    <t xml:space="preserve">MicroVision</t>
  </si>
  <si>
    <t xml:space="preserve">MVT 7080</t>
  </si>
  <si>
    <t xml:space="preserve">4 CASSETTE WAFER SORTER</t>
  </si>
  <si>
    <t xml:space="preserve">99422</t>
  </si>
  <si>
    <t xml:space="preserve">Minato</t>
  </si>
  <si>
    <t xml:space="preserve">MM-6600</t>
  </si>
  <si>
    <t xml:space="preserve">Wafer Mobility Tester</t>
  </si>
  <si>
    <t xml:space="preserve">97073</t>
  </si>
  <si>
    <t xml:space="preserve">Mirae</t>
  </si>
  <si>
    <t xml:space="preserve">Mx400lx</t>
  </si>
  <si>
    <t xml:space="preserve">PICK and place</t>
  </si>
  <si>
    <t xml:space="preserve">assembly / SMT</t>
  </si>
  <si>
    <t xml:space="preserve">98614</t>
  </si>
  <si>
    <t xml:space="preserve">Mirae Industry</t>
  </si>
  <si>
    <t xml:space="preserve">M330</t>
  </si>
  <si>
    <t xml:space="preserve">98613</t>
  </si>
  <si>
    <t xml:space="preserve">97943</t>
  </si>
  <si>
    <t xml:space="preserve">MIRHO</t>
  </si>
  <si>
    <t xml:space="preserve">HSLC-100</t>
  </si>
  <si>
    <t xml:space="preserve">LASER CUTTER</t>
  </si>
  <si>
    <t xml:space="preserve">97205</t>
  </si>
  <si>
    <t xml:space="preserve">Mirtec </t>
  </si>
  <si>
    <t xml:space="preserve">MV-9 </t>
  </si>
  <si>
    <t xml:space="preserve">97703</t>
  </si>
  <si>
    <t xml:space="preserve">Mitsubishi</t>
  </si>
  <si>
    <t xml:space="preserve">DWC-90</t>
  </si>
  <si>
    <t xml:space="preserve">Wire EDM (Electrical Discharge Machine)</t>
  </si>
  <si>
    <t xml:space="preserve">97944</t>
  </si>
  <si>
    <t xml:space="preserve">Mitutoyo</t>
  </si>
  <si>
    <t xml:space="preserve">HM-124</t>
  </si>
  <si>
    <t xml:space="preserve">HARDNESS TESTER</t>
  </si>
  <si>
    <t xml:space="preserve">97945</t>
  </si>
  <si>
    <t xml:space="preserve">MITUTOYO</t>
  </si>
  <si>
    <t xml:space="preserve">QS250Z1J </t>
  </si>
  <si>
    <t xml:space="preserve">3D MEASURING MACHINE</t>
  </si>
  <si>
    <t xml:space="preserve">100734</t>
  </si>
  <si>
    <t xml:space="preserve">SJ-401</t>
  </si>
  <si>
    <t xml:space="preserve">Surface Roughness Tester</t>
  </si>
  <si>
    <t xml:space="preserve">100735</t>
  </si>
  <si>
    <t xml:space="preserve">SJ-411</t>
  </si>
  <si>
    <t xml:space="preserve">100736</t>
  </si>
  <si>
    <t xml:space="preserve">YC-H250</t>
  </si>
  <si>
    <t xml:space="preserve">100737</t>
  </si>
  <si>
    <t xml:space="preserve">YC-H260</t>
  </si>
  <si>
    <t xml:space="preserve">99062</t>
  </si>
  <si>
    <t xml:space="preserve">MKS / Astex</t>
  </si>
  <si>
    <t xml:space="preserve">AX8403A</t>
  </si>
  <si>
    <t xml:space="preserve">Ozone Generator System</t>
  </si>
  <si>
    <t xml:space="preserve">97867</t>
  </si>
  <si>
    <t xml:space="preserve">MORY</t>
  </si>
  <si>
    <t xml:space="preserve">DSV-3000</t>
  </si>
  <si>
    <t xml:space="preserve">100039</t>
  </si>
  <si>
    <t xml:space="preserve">MOSAID</t>
  </si>
  <si>
    <t xml:space="preserve">4205</t>
  </si>
  <si>
    <t xml:space="preserve">BIT MAP TESTER</t>
  </si>
  <si>
    <t xml:space="preserve">100219</t>
  </si>
  <si>
    <t xml:space="preserve">MPI Corporation</t>
  </si>
  <si>
    <t xml:space="preserve">LEDA P6801</t>
  </si>
  <si>
    <t xml:space="preserve">LED Die Prober</t>
  </si>
  <si>
    <t xml:space="preserve">98408</t>
  </si>
  <si>
    <t xml:space="preserve">MPM </t>
  </si>
  <si>
    <t xml:space="preserve">TF-100</t>
  </si>
  <si>
    <t xml:space="preserve">Screen Printer 150mm x 150mm working area</t>
  </si>
  <si>
    <t xml:space="preserve">98409</t>
  </si>
  <si>
    <t xml:space="preserve">Cyclone C430 LH</t>
  </si>
  <si>
    <t xml:space="preserve">stack vertical furnace</t>
  </si>
  <si>
    <t xml:space="preserve">99327</t>
  </si>
  <si>
    <t xml:space="preserve">Multitest</t>
  </si>
  <si>
    <t xml:space="preserve">MT2168</t>
  </si>
  <si>
    <t xml:space="preserve">Test Handler</t>
  </si>
  <si>
    <t xml:space="preserve">99329</t>
  </si>
  <si>
    <t xml:space="preserve">MT8589</t>
  </si>
  <si>
    <t xml:space="preserve">99328</t>
  </si>
  <si>
    <t xml:space="preserve">97946</t>
  </si>
  <si>
    <t xml:space="preserve">MUSASHI</t>
  </si>
  <si>
    <t xml:space="preserve">FAD2200</t>
  </si>
  <si>
    <t xml:space="preserve">DISPENSER</t>
  </si>
  <si>
    <t xml:space="preserve">97947</t>
  </si>
  <si>
    <t xml:space="preserve">FAD2300</t>
  </si>
  <si>
    <t xml:space="preserve">97948</t>
  </si>
  <si>
    <t xml:space="preserve">TAD-1000M</t>
  </si>
  <si>
    <t xml:space="preserve">98791</t>
  </si>
  <si>
    <t xml:space="preserve">MVP</t>
  </si>
  <si>
    <t xml:space="preserve">AutoInspector Ultra IV</t>
  </si>
  <si>
    <t xml:space="preserve">AOI Machine</t>
  </si>
  <si>
    <t xml:space="preserve">97844</t>
  </si>
  <si>
    <t xml:space="preserve">Mycronic</t>
  </si>
  <si>
    <t xml:space="preserve">MY600</t>
  </si>
  <si>
    <t xml:space="preserve">Jet Printer</t>
  </si>
  <si>
    <t xml:space="preserve">100794</t>
  </si>
  <si>
    <t xml:space="preserve">Nada Technologies</t>
  </si>
  <si>
    <t xml:space="preserve">T6</t>
  </si>
  <si>
    <t xml:space="preserve">T series Wafer Sorter</t>
  </si>
  <si>
    <t xml:space="preserve">100793</t>
  </si>
  <si>
    <t xml:space="preserve">99330</t>
  </si>
  <si>
    <t xml:space="preserve">Nanofocus</t>
  </si>
  <si>
    <t xml:space="preserve">Micro-sprint</t>
  </si>
  <si>
    <t xml:space="preserve">3d inspection system with handler</t>
  </si>
  <si>
    <t xml:space="preserve">98480</t>
  </si>
  <si>
    <t xml:space="preserve">Nanometrics</t>
  </si>
  <si>
    <t xml:space="preserve">8000X</t>
  </si>
  <si>
    <t xml:space="preserve">film thickness measurement</t>
  </si>
  <si>
    <t xml:space="preserve">98481</t>
  </si>
  <si>
    <t xml:space="preserve">8000Xse</t>
  </si>
  <si>
    <t xml:space="preserve">98479</t>
  </si>
  <si>
    <t xml:space="preserve">9100</t>
  </si>
  <si>
    <t xml:space="preserve">99030</t>
  </si>
  <si>
    <t xml:space="preserve">NANOMETRICS</t>
  </si>
  <si>
    <t xml:space="preserve">ATLAS</t>
  </si>
  <si>
    <t xml:space="preserve">Critical Dimension (CD) Measurement</t>
  </si>
  <si>
    <t xml:space="preserve">99029</t>
  </si>
  <si>
    <t xml:space="preserve">99028</t>
  </si>
  <si>
    <t xml:space="preserve">99027</t>
  </si>
  <si>
    <t xml:space="preserve">98832</t>
  </si>
  <si>
    <t xml:space="preserve">98831</t>
  </si>
  <si>
    <t xml:space="preserve">100220</t>
  </si>
  <si>
    <t xml:space="preserve">Atlas</t>
  </si>
  <si>
    <t xml:space="preserve">100221</t>
  </si>
  <si>
    <t xml:space="preserve">Atlas II+</t>
  </si>
  <si>
    <t xml:space="preserve">Critical Dimension (CD) Measurement (non SEM)</t>
  </si>
  <si>
    <t xml:space="preserve">98155</t>
  </si>
  <si>
    <t xml:space="preserve">Caliper Mosaic</t>
  </si>
  <si>
    <t xml:space="preserve">98154</t>
  </si>
  <si>
    <t xml:space="preserve">98153</t>
  </si>
  <si>
    <t xml:space="preserve">98482</t>
  </si>
  <si>
    <t xml:space="preserve">Caliper Mosaic EFEM module</t>
  </si>
  <si>
    <t xml:space="preserve">Brooks Razor robot with Brooks load port</t>
  </si>
  <si>
    <t xml:space="preserve">98291</t>
  </si>
  <si>
    <t xml:space="preserve">CALIPER ULTRA</t>
  </si>
  <si>
    <t xml:space="preserve">Mask &amp; Wafer Inspection</t>
  </si>
  <si>
    <t xml:space="preserve">98290</t>
  </si>
  <si>
    <t xml:space="preserve">98289</t>
  </si>
  <si>
    <t xml:space="preserve">97024</t>
  </si>
  <si>
    <t xml:space="preserve">CALIPER_MOSAIC</t>
  </si>
  <si>
    <t xml:space="preserve">Overlay Inspection</t>
  </si>
  <si>
    <t xml:space="preserve">100222</t>
  </si>
  <si>
    <t xml:space="preserve">LYNX</t>
  </si>
  <si>
    <t xml:space="preserve">98483</t>
  </si>
  <si>
    <t xml:space="preserve">Lynx EFEM</t>
  </si>
  <si>
    <t xml:space="preserve">Kawasaki robot with TDK load port</t>
  </si>
  <si>
    <t xml:space="preserve">98508</t>
  </si>
  <si>
    <t xml:space="preserve">M6100</t>
  </si>
  <si>
    <t xml:space="preserve">98315</t>
  </si>
  <si>
    <t xml:space="preserve">Nanospec 4150</t>
  </si>
  <si>
    <t xml:space="preserve">98410</t>
  </si>
  <si>
    <t xml:space="preserve">Coolflow CFT-75</t>
  </si>
  <si>
    <t xml:space="preserve">98411</t>
  </si>
  <si>
    <t xml:space="preserve">HX150DD</t>
  </si>
  <si>
    <t xml:space="preserve">98412</t>
  </si>
  <si>
    <t xml:space="preserve">Thermoflex 2500</t>
  </si>
  <si>
    <t xml:space="preserve">98413</t>
  </si>
  <si>
    <t xml:space="preserve">Thermoflex 5000</t>
  </si>
  <si>
    <t xml:space="preserve">97868</t>
  </si>
  <si>
    <t xml:space="preserve">Newport</t>
  </si>
  <si>
    <t xml:space="preserve">1830-C</t>
  </si>
  <si>
    <t xml:space="preserve">Optical Power Meter</t>
  </si>
  <si>
    <t xml:space="preserve">98615</t>
  </si>
  <si>
    <t xml:space="preserve">NEXTEST</t>
  </si>
  <si>
    <t xml:space="preserve">SSV-VP</t>
  </si>
  <si>
    <t xml:space="preserve">MEMORY TESTER</t>
  </si>
  <si>
    <t xml:space="preserve">97951</t>
  </si>
  <si>
    <t xml:space="preserve">NGK</t>
  </si>
  <si>
    <t xml:space="preserve">RC2000ACDS</t>
  </si>
  <si>
    <t xml:space="preserve">CO2 BUBBLER</t>
  </si>
  <si>
    <t xml:space="preserve">97950</t>
  </si>
  <si>
    <t xml:space="preserve">RC-1000A</t>
  </si>
  <si>
    <t xml:space="preserve">98922</t>
  </si>
  <si>
    <t xml:space="preserve">Nicolet</t>
  </si>
  <si>
    <t xml:space="preserve">ECO 3000</t>
  </si>
  <si>
    <t xml:space="preserve">97897</t>
  </si>
  <si>
    <t xml:space="preserve">Nidek</t>
  </si>
  <si>
    <t xml:space="preserve">FT-17</t>
  </si>
  <si>
    <t xml:space="preserve">Laser interferometer</t>
  </si>
  <si>
    <t xml:space="preserve">50 mm</t>
  </si>
  <si>
    <t xml:space="preserve">97026</t>
  </si>
  <si>
    <t xml:space="preserve">IM-14</t>
  </si>
  <si>
    <t xml:space="preserve">Loader/Autoloader</t>
  </si>
  <si>
    <t xml:space="preserve">97025</t>
  </si>
  <si>
    <t xml:space="preserve">97952</t>
  </si>
  <si>
    <t xml:space="preserve">NIHON GARTER</t>
  </si>
  <si>
    <t xml:space="preserve">NCS-3100V</t>
  </si>
  <si>
    <t xml:space="preserve">SORTER</t>
  </si>
  <si>
    <t xml:space="preserve">97953</t>
  </si>
  <si>
    <t xml:space="preserve">NCT-5100</t>
  </si>
  <si>
    <t xml:space="preserve">TAPING</t>
  </si>
  <si>
    <t xml:space="preserve">97708</t>
  </si>
  <si>
    <t xml:space="preserve">Nikon</t>
  </si>
  <si>
    <t xml:space="preserve">AMI-3000</t>
  </si>
  <si>
    <t xml:space="preserve">Macro-Defect</t>
  </si>
  <si>
    <t xml:space="preserve">96890</t>
  </si>
  <si>
    <t xml:space="preserve">100224</t>
  </si>
  <si>
    <t xml:space="preserve">AMI-3300</t>
  </si>
  <si>
    <t xml:space="preserve">100223</t>
  </si>
  <si>
    <t xml:space="preserve">100226</t>
  </si>
  <si>
    <t xml:space="preserve">AMI-3500</t>
  </si>
  <si>
    <t xml:space="preserve">100225</t>
  </si>
  <si>
    <t xml:space="preserve">98484</t>
  </si>
  <si>
    <t xml:space="preserve">ECLIPSE L150�</t>
  </si>
  <si>
    <t xml:space="preserve">100/150mm</t>
  </si>
  <si>
    <t xml:space="preserve">100708</t>
  </si>
  <si>
    <t xml:space="preserve">Eclipse LV 100</t>
  </si>
  <si>
    <t xml:space="preserve">99396</t>
  </si>
  <si>
    <t xml:space="preserve">EpiPhot 200</t>
  </si>
  <si>
    <t xml:space="preserve">100738</t>
  </si>
  <si>
    <t xml:space="preserve">G6</t>
  </si>
  <si>
    <t xml:space="preserve">Stepper</t>
  </si>
  <si>
    <t xml:space="preserve">99995</t>
  </si>
  <si>
    <t xml:space="preserve">i7</t>
  </si>
  <si>
    <t xml:space="preserve">100861</t>
  </si>
  <si>
    <t xml:space="preserve">L200</t>
  </si>
  <si>
    <t xml:space="preserve">97954</t>
  </si>
  <si>
    <t xml:space="preserve">NIKON</t>
  </si>
  <si>
    <t xml:space="preserve">LV150N</t>
  </si>
  <si>
    <t xml:space="preserve">100739</t>
  </si>
  <si>
    <t xml:space="preserve">MM60</t>
  </si>
  <si>
    <t xml:space="preserve">98417</t>
  </si>
  <si>
    <t xml:space="preserve">NSR-1505G4C</t>
  </si>
  <si>
    <t xml:space="preserve">5x Reduction Stepper</t>
  </si>
  <si>
    <t xml:space="preserve">98416</t>
  </si>
  <si>
    <t xml:space="preserve">98415</t>
  </si>
  <si>
    <t xml:space="preserve">98414</t>
  </si>
  <si>
    <t xml:space="preserve">99064</t>
  </si>
  <si>
    <t xml:space="preserve">NSR-1755G7A</t>
  </si>
  <si>
    <t xml:space="preserve">G line Stepper</t>
  </si>
  <si>
    <t xml:space="preserve">50 mm / 2 inch</t>
  </si>
  <si>
    <t xml:space="preserve">98157</t>
  </si>
  <si>
    <t xml:space="preserve">NSR-2005i9C</t>
  </si>
  <si>
    <t xml:space="preserve">98156</t>
  </si>
  <si>
    <t xml:space="preserve">NSR-2005i10C</t>
  </si>
  <si>
    <t xml:space="preserve">98894</t>
  </si>
  <si>
    <t xml:space="preserve">NSR-2005i10C	</t>
  </si>
  <si>
    <t xml:space="preserve">PHOTO(LITHO)</t>
  </si>
  <si>
    <t xml:space="preserve">98158</t>
  </si>
  <si>
    <t xml:space="preserve">NSR-2205EX14C</t>
  </si>
  <si>
    <t xml:space="preserve">KrF Stepper</t>
  </si>
  <si>
    <t xml:space="preserve">97027</t>
  </si>
  <si>
    <t xml:space="preserve">NSR-2205i10C</t>
  </si>
  <si>
    <t xml:space="preserve">Photo Exposure</t>
  </si>
  <si>
    <t xml:space="preserve">98159</t>
  </si>
  <si>
    <t xml:space="preserve">NSR-2205i11D</t>
  </si>
  <si>
    <t xml:space="preserve">98160</t>
  </si>
  <si>
    <t xml:space="preserve">NSR-S204B</t>
  </si>
  <si>
    <t xml:space="preserve">KrF Scanner</t>
  </si>
  <si>
    <t xml:space="preserve">99290</t>
  </si>
  <si>
    <t xml:space="preserve">KrF Scanner, 248 nm</t>
  </si>
  <si>
    <t xml:space="preserve">99289</t>
  </si>
  <si>
    <t xml:space="preserve">98161</t>
  </si>
  <si>
    <t xml:space="preserve">NSR-S205C</t>
  </si>
  <si>
    <t xml:space="preserve">99865</t>
  </si>
  <si>
    <t xml:space="preserve">NWL-641</t>
  </si>
  <si>
    <t xml:space="preserve">Auto Microscope with Loader</t>
  </si>
  <si>
    <t xml:space="preserve">99423</t>
  </si>
  <si>
    <t xml:space="preserve">Optiphot</t>
  </si>
  <si>
    <t xml:space="preserve">98485</t>
  </si>
  <si>
    <t xml:space="preserve">optiphot 150</t>
  </si>
  <si>
    <t xml:space="preserve">99424</t>
  </si>
  <si>
    <t xml:space="preserve">Optiphot 150</t>
  </si>
  <si>
    <t xml:space="preserve">Wafer Inspection Microscope</t>
  </si>
  <si>
    <t xml:space="preserve">99996</t>
  </si>
  <si>
    <t xml:space="preserve">Optiphot 200</t>
  </si>
  <si>
    <t xml:space="preserve">98923</t>
  </si>
  <si>
    <t xml:space="preserve">Optiphot 200 </t>
  </si>
  <si>
    <t xml:space="preserve">99425</t>
  </si>
  <si>
    <t xml:space="preserve">Optistation 3</t>
  </si>
  <si>
    <t xml:space="preserve">Microscope Wafer Inspection Satation with cassette to cassette handling</t>
  </si>
  <si>
    <t xml:space="preserve">99426</t>
  </si>
  <si>
    <t xml:space="preserve">Microscope Wafer Inspection Station with cassette to cassette handling</t>
  </si>
  <si>
    <t xml:space="preserve">99427</t>
  </si>
  <si>
    <t xml:space="preserve">99428</t>
  </si>
  <si>
    <t xml:space="preserve">Optistation 3A</t>
  </si>
  <si>
    <t xml:space="preserve">Automatic Wafer Inspection Station</t>
  </si>
  <si>
    <t xml:space="preserve">97713</t>
  </si>
  <si>
    <t xml:space="preserve">OPTISTATION 3100</t>
  </si>
  <si>
    <t xml:space="preserve">Microscope inspection station</t>
  </si>
  <si>
    <t xml:space="preserve">97712</t>
  </si>
  <si>
    <t xml:space="preserve">99997</t>
  </si>
  <si>
    <t xml:space="preserve">SF120</t>
  </si>
  <si>
    <t xml:space="preserve">100025</t>
  </si>
  <si>
    <t xml:space="preserve">SF130</t>
  </si>
  <si>
    <t xml:space="preserve">97955</t>
  </si>
  <si>
    <t xml:space="preserve">SMZ645</t>
  </si>
  <si>
    <t xml:space="preserve">LOW POWER MICROSCOPE</t>
  </si>
  <si>
    <t xml:space="preserve">97869</t>
  </si>
  <si>
    <t xml:space="preserve">98007</t>
  </si>
  <si>
    <t xml:space="preserve">VMR-C4540</t>
  </si>
  <si>
    <t xml:space="preserve">96985</t>
  </si>
  <si>
    <t xml:space="preserve">Nikon </t>
  </si>
  <si>
    <t xml:space="preserve">i10</t>
  </si>
  <si>
    <t xml:space="preserve">100351</t>
  </si>
  <si>
    <t xml:space="preserve">NISSHINBO</t>
  </si>
  <si>
    <t xml:space="preserve">SSS 1114i</t>
  </si>
  <si>
    <t xml:space="preserve">FLS- flash sunlight simulator</t>
  </si>
  <si>
    <t xml:space="preserve">98162</t>
  </si>
  <si>
    <t xml:space="preserve">Nissin</t>
  </si>
  <si>
    <t xml:space="preserve">Exceed 2300AH</t>
  </si>
  <si>
    <t xml:space="preserve">98164</t>
  </si>
  <si>
    <t xml:space="preserve">Exceed 3000AH</t>
  </si>
  <si>
    <t xml:space="preserve">MEDIUM CURRENT IMPLANTER</t>
  </si>
  <si>
    <t xml:space="preserve">98163</t>
  </si>
  <si>
    <t xml:space="preserve">99223</t>
  </si>
  <si>
    <t xml:space="preserve">EXCEED 3000AH</t>
  </si>
  <si>
    <t xml:space="preserve">Mid Current Implanter</t>
  </si>
  <si>
    <t xml:space="preserve">99222</t>
  </si>
  <si>
    <t xml:space="preserve">99221</t>
  </si>
  <si>
    <t xml:space="preserve">99866</t>
  </si>
  <si>
    <t xml:space="preserve">Nitto</t>
  </si>
  <si>
    <t xml:space="preserve">DR8500-II</t>
  </si>
  <si>
    <t xml:space="preserve">98486</t>
  </si>
  <si>
    <t xml:space="preserve">MA 3000 II</t>
  </si>
  <si>
    <t xml:space="preserve">wafer mounter and demounter</t>
  </si>
  <si>
    <t xml:space="preserve">97956</t>
  </si>
  <si>
    <t xml:space="preserve">NOMURA</t>
  </si>
  <si>
    <t xml:space="preserve">NDB3</t>
  </si>
  <si>
    <t xml:space="preserve">99326</t>
  </si>
  <si>
    <t xml:space="preserve">Nordson</t>
  </si>
  <si>
    <t xml:space="preserve">Matrix X3</t>
  </si>
  <si>
    <t xml:space="preserve">High Speed XRay System f. Tray Handling</t>
  </si>
  <si>
    <t xml:space="preserve">98924</t>
  </si>
  <si>
    <t xml:space="preserve">Novellus</t>
  </si>
  <si>
    <t xml:space="preserve">04-8132929-00</t>
  </si>
  <si>
    <t xml:space="preserve">98927</t>
  </si>
  <si>
    <t xml:space="preserve">98926</t>
  </si>
  <si>
    <t xml:space="preserve">98925</t>
  </si>
  <si>
    <t xml:space="preserve">98860</t>
  </si>
  <si>
    <t xml:space="preserve">C1 Tungsten</t>
  </si>
  <si>
    <t xml:space="preserve">CVD SMIF</t>
  </si>
  <si>
    <t xml:space="preserve">97183</t>
  </si>
  <si>
    <t xml:space="preserve">C2 Dual Speed Sequel</t>
  </si>
  <si>
    <t xml:space="preserve">99999</t>
  </si>
  <si>
    <t xml:space="preserve">C2 Sequel</t>
  </si>
  <si>
    <t xml:space="preserve">99998</t>
  </si>
  <si>
    <t xml:space="preserve">98166</t>
  </si>
  <si>
    <t xml:space="preserve">C2 Speed Shrink</t>
  </si>
  <si>
    <t xml:space="preserve">98165</t>
  </si>
  <si>
    <t xml:space="preserve">97180</t>
  </si>
  <si>
    <t xml:space="preserve">C2 Triple Speed</t>
  </si>
  <si>
    <t xml:space="preserve">99867</t>
  </si>
  <si>
    <t xml:space="preserve">Concept One</t>
  </si>
  <si>
    <t xml:space="preserve">PECVD Nitride/TEOS</t>
  </si>
  <si>
    <t xml:space="preserve">100227</t>
  </si>
  <si>
    <t xml:space="preserve">Concept Three Altus Max</t>
  </si>
  <si>
    <t xml:space="preserve">WCVD (Chemical Vapor Deposition)</t>
  </si>
  <si>
    <t xml:space="preserve">99226</t>
  </si>
  <si>
    <t xml:space="preserve">GAMMA 2130</t>
  </si>
  <si>
    <t xml:space="preserve">98294</t>
  </si>
  <si>
    <t xml:space="preserve">NOVELLUS</t>
  </si>
  <si>
    <t xml:space="preserve">GAMMA EXPRESS</t>
  </si>
  <si>
    <t xml:space="preserve">PR Strip</t>
  </si>
  <si>
    <t xml:space="preserve">100230</t>
  </si>
  <si>
    <t xml:space="preserve">GAMMA Express</t>
  </si>
  <si>
    <t xml:space="preserve">100229</t>
  </si>
  <si>
    <t xml:space="preserve">100228</t>
  </si>
  <si>
    <t xml:space="preserve">98352</t>
  </si>
  <si>
    <t xml:space="preserve">GAMMA_EXPRESS</t>
  </si>
  <si>
    <t xml:space="preserve">98168</t>
  </si>
  <si>
    <t xml:space="preserve">Inova Chamber</t>
  </si>
  <si>
    <t xml:space="preserve">Chamber Only</t>
  </si>
  <si>
    <t xml:space="preserve">98167</t>
  </si>
  <si>
    <t xml:space="preserve">98037</t>
  </si>
  <si>
    <t xml:space="preserve">MB2</t>
  </si>
  <si>
    <t xml:space="preserve">Sputtering System</t>
  </si>
  <si>
    <t xml:space="preserve">98036</t>
  </si>
  <si>
    <t xml:space="preserve">98035</t>
  </si>
  <si>
    <t xml:space="preserve">98928</t>
  </si>
  <si>
    <t xml:space="preserve">SABRE-XT</t>
  </si>
  <si>
    <t xml:space="preserve">Electro Copper Plating</t>
  </si>
  <si>
    <t xml:space="preserve">98295</t>
  </si>
  <si>
    <t xml:space="preserve">99949</t>
  </si>
  <si>
    <t xml:space="preserve">100231</t>
  </si>
  <si>
    <t xml:space="preserve">VECTOR Express</t>
  </si>
  <si>
    <t xml:space="preserve">97716</t>
  </si>
  <si>
    <t xml:space="preserve">97715</t>
  </si>
  <si>
    <t xml:space="preserve">100053</t>
  </si>
  <si>
    <t xml:space="preserve">Novellus	 	</t>
  </si>
  <si>
    <t xml:space="preserve">C1 TEOS</t>
  </si>
  <si>
    <t xml:space="preserve">Oxide CVD</t>
  </si>
  <si>
    <t xml:space="preserve">96999</t>
  </si>
  <si>
    <t xml:space="preserve">C2 SEQUEL Dual Express System</t>
  </si>
  <si>
    <t xml:space="preserve">100342</t>
  </si>
  <si>
    <t xml:space="preserve">Sabre</t>
  </si>
  <si>
    <t xml:space="preserve">Electrochemical deposition system</t>
  </si>
  <si>
    <t xml:space="preserve">97002</t>
  </si>
  <si>
    <t xml:space="preserve">SPEED C2 Concept Two</t>
  </si>
  <si>
    <t xml:space="preserve">CVD-System</t>
  </si>
  <si>
    <t xml:space="preserve">97000</t>
  </si>
  <si>
    <t xml:space="preserve">97899</t>
  </si>
  <si>
    <t xml:space="preserve">NTS</t>
  </si>
  <si>
    <t xml:space="preserve">4C320</t>
  </si>
  <si>
    <t xml:space="preserve">Wax mounting machine for sapphire wafers</t>
  </si>
  <si>
    <t xml:space="preserve">97898</t>
  </si>
  <si>
    <t xml:space="preserve">36G DMP SL910-AFCL</t>
  </si>
  <si>
    <t xml:space="preserve">Diamond Polishing Machine</t>
  </si>
  <si>
    <t xml:space="preserve">98169</t>
  </si>
  <si>
    <t xml:space="preserve">NuFlare</t>
  </si>
  <si>
    <t xml:space="preserve">EBM-9500</t>
  </si>
  <si>
    <t xml:space="preserve">Photomask Writer</t>
  </si>
  <si>
    <t xml:space="preserve">Mask</t>
  </si>
  <si>
    <t xml:space="preserve">99961</t>
  </si>
  <si>
    <t xml:space="preserve">Okamoto</t>
  </si>
  <si>
    <t xml:space="preserve">VG502 MK II-8</t>
  </si>
  <si>
    <t xml:space="preserve">Back Grinder</t>
  </si>
  <si>
    <t xml:space="preserve">99956</t>
  </si>
  <si>
    <t xml:space="preserve">99955</t>
  </si>
  <si>
    <t xml:space="preserve">100353</t>
  </si>
  <si>
    <t xml:space="preserve">Olbricht</t>
  </si>
  <si>
    <t xml:space="preserve">FTM</t>
  </si>
  <si>
    <t xml:space="preserve">Foil Trimming Manual/Electric control system</t>
  </si>
  <si>
    <t xml:space="preserve">100352</t>
  </si>
  <si>
    <t xml:space="preserve">GLB</t>
  </si>
  <si>
    <t xml:space="preserve">Vacuum handler/Placement conveyor with the lateral home position</t>
  </si>
  <si>
    <t xml:space="preserve">100354</t>
  </si>
  <si>
    <t xml:space="preserve">GLS</t>
  </si>
  <si>
    <t xml:space="preserve">Glass loading station/Vacuum handler</t>
  </si>
  <si>
    <t xml:space="preserve">100361</t>
  </si>
  <si>
    <t xml:space="preserve">MLS</t>
  </si>
  <si>
    <t xml:space="preserve">Module Labeling System MLS</t>
  </si>
  <si>
    <t xml:space="preserve">100679</t>
  </si>
  <si>
    <t xml:space="preserve">Olympus</t>
  </si>
  <si>
    <t xml:space="preserve">AL110-12-LP</t>
  </si>
  <si>
    <t xml:space="preserve">Auto Loader</t>
  </si>
  <si>
    <t xml:space="preserve">98531</t>
  </si>
  <si>
    <t xml:space="preserve">BH2-UMA</t>
  </si>
  <si>
    <t xml:space="preserve">98418</t>
  </si>
  <si>
    <t xml:space="preserve">100740</t>
  </si>
  <si>
    <t xml:space="preserve">BX51X</t>
  </si>
  <si>
    <t xml:space="preserve">100741</t>
  </si>
  <si>
    <t xml:space="preserve">MX40</t>
  </si>
  <si>
    <t xml:space="preserve">98616</t>
  </si>
  <si>
    <t xml:space="preserve">OLYMPUS</t>
  </si>
  <si>
    <t xml:space="preserve">MX50</t>
  </si>
  <si>
    <t xml:space="preserve">High Power Scope</t>
  </si>
  <si>
    <t xml:space="preserve">100743</t>
  </si>
  <si>
    <t xml:space="preserve">MX51</t>
  </si>
  <si>
    <t xml:space="preserve">100742</t>
  </si>
  <si>
    <t xml:space="preserve">Microscope + Loader</t>
  </si>
  <si>
    <t xml:space="preserve">98487</t>
  </si>
  <si>
    <t xml:space="preserve">MX51 with loader AL110-L6</t>
  </si>
  <si>
    <t xml:space="preserve">98488</t>
  </si>
  <si>
    <t xml:space="preserve">MX51 with software</t>
  </si>
  <si>
    <t xml:space="preserve">98008</t>
  </si>
  <si>
    <t xml:space="preserve">MX-50</t>
  </si>
  <si>
    <t xml:space="preserve">Optical Microscope</t>
  </si>
  <si>
    <t xml:space="preserve">100040</t>
  </si>
  <si>
    <t xml:space="preserve">OLS3000</t>
  </si>
  <si>
    <t xml:space="preserve">3D Microscope</t>
  </si>
  <si>
    <t xml:space="preserve">97957</t>
  </si>
  <si>
    <t xml:space="preserve">98970</t>
  </si>
  <si>
    <t xml:space="preserve">Olympus AL3120F-DUV</t>
  </si>
  <si>
    <t xml:space="preserve">MICROSCOPE (TAS300 - 2L/P)</t>
  </si>
  <si>
    <t xml:space="preserve">98617</t>
  </si>
  <si>
    <t xml:space="preserve">Low Power Scope</t>
  </si>
  <si>
    <t xml:space="preserve">97870</t>
  </si>
  <si>
    <t xml:space="preserve">SZ30</t>
  </si>
  <si>
    <t xml:space="preserve">97871</t>
  </si>
  <si>
    <t xml:space="preserve">SZ60</t>
  </si>
  <si>
    <t xml:space="preserve">100041</t>
  </si>
  <si>
    <t xml:space="preserve">SZ60TR-60</t>
  </si>
  <si>
    <t xml:space="preserve">98621</t>
  </si>
  <si>
    <t xml:space="preserve">SZ61</t>
  </si>
  <si>
    <t xml:space="preserve">98620</t>
  </si>
  <si>
    <t xml:space="preserve">98619</t>
  </si>
  <si>
    <t xml:space="preserve">97872</t>
  </si>
  <si>
    <t xml:space="preserve">98618</t>
  </si>
  <si>
    <t xml:space="preserve">SZ-4045</t>
  </si>
  <si>
    <t xml:space="preserve">99280</t>
  </si>
  <si>
    <t xml:space="preserve">Olympus </t>
  </si>
  <si>
    <t xml:space="preserve">MX61</t>
  </si>
  <si>
    <t xml:space="preserve">100744</t>
  </si>
  <si>
    <t xml:space="preserve">Omega</t>
  </si>
  <si>
    <t xml:space="preserve">M200 28KGS</t>
  </si>
  <si>
    <t xml:space="preserve">Single Crystal Furnace</t>
  </si>
  <si>
    <t xml:space="preserve">99332</t>
  </si>
  <si>
    <t xml:space="preserve">Orbotech</t>
  </si>
  <si>
    <t xml:space="preserve">Ultra Discovery VM</t>
  </si>
  <si>
    <t xml:space="preserve">Automatic Optical Inspection</t>
  </si>
  <si>
    <t xml:space="preserve">99340</t>
  </si>
  <si>
    <t xml:space="preserve">Orthodyne</t>
  </si>
  <si>
    <t xml:space="preserve">M360C</t>
  </si>
  <si>
    <t xml:space="preserve">Heavy Wire Bonder</t>
  </si>
  <si>
    <t xml:space="preserve">99339</t>
  </si>
  <si>
    <t xml:space="preserve">99338</t>
  </si>
  <si>
    <t xml:space="preserve">99337</t>
  </si>
  <si>
    <t xml:space="preserve">99336</t>
  </si>
  <si>
    <t xml:space="preserve">99335</t>
  </si>
  <si>
    <t xml:space="preserve">99334</t>
  </si>
  <si>
    <t xml:space="preserve">99333</t>
  </si>
  <si>
    <t xml:space="preserve">100043</t>
  </si>
  <si>
    <t xml:space="preserve">OSUNG</t>
  </si>
  <si>
    <t xml:space="preserve">OS_OVN11CL01W</t>
  </si>
  <si>
    <t xml:space="preserve">100042</t>
  </si>
  <si>
    <t xml:space="preserve">97959</t>
  </si>
  <si>
    <t xml:space="preserve">OS-OVN11-BK01W</t>
  </si>
  <si>
    <t xml:space="preserve">2 CHAMBER OVEN</t>
  </si>
  <si>
    <t xml:space="preserve">97960</t>
  </si>
  <si>
    <t xml:space="preserve">OST-OVN11-BK02</t>
  </si>
  <si>
    <t xml:space="preserve">1 CHAMBER OVEN</t>
  </si>
  <si>
    <t xml:space="preserve">98419</t>
  </si>
  <si>
    <t xml:space="preserve">Oxford</t>
  </si>
  <si>
    <t xml:space="preserve">100 Plus</t>
  </si>
  <si>
    <t xml:space="preserve">PECVD Nitride System</t>
  </si>
  <si>
    <t xml:space="preserve">99401</t>
  </si>
  <si>
    <t xml:space="preserve">Flex AL-II</t>
  </si>
  <si>
    <t xml:space="preserve">ALD system</t>
  </si>
  <si>
    <t xml:space="preserve">99399</t>
  </si>
  <si>
    <t xml:space="preserve">Micro-dep 300</t>
  </si>
  <si>
    <t xml:space="preserve">PE CVD system (For spares use)</t>
  </si>
  <si>
    <t xml:space="preserve">99398</t>
  </si>
  <si>
    <t xml:space="preserve">Micro-etch 300</t>
  </si>
  <si>
    <t xml:space="preserve">100233</t>
  </si>
  <si>
    <t xml:space="preserve">X-Strata980</t>
  </si>
  <si>
    <t xml:space="preserve">X-ray Fluorescence Spectrometer</t>
  </si>
  <si>
    <t xml:space="preserve">100232</t>
  </si>
  <si>
    <t xml:space="preserve">Oxford  </t>
  </si>
  <si>
    <t xml:space="preserve">Plasmalab 80 Plus</t>
  </si>
  <si>
    <t xml:space="preserve">100345</t>
  </si>
  <si>
    <t xml:space="preserve">Oxford Instruments</t>
  </si>
  <si>
    <t xml:space="preserve">FlexAL</t>
  </si>
  <si>
    <t xml:space="preserve">Atomic Layer Deposition System</t>
  </si>
  <si>
    <t xml:space="preserve">97449</t>
  </si>
  <si>
    <t xml:space="preserve">Plasmalab 100+ICP180</t>
  </si>
  <si>
    <t xml:space="preserve">Inductively Coupled Plasma High Density Etching System</t>
  </si>
  <si>
    <t xml:space="preserve">99868</t>
  </si>
  <si>
    <t xml:space="preserve">Oxford Plasmalab</t>
  </si>
  <si>
    <t xml:space="preserve">800 RIE</t>
  </si>
  <si>
    <t xml:space="preserve">Ion Etching System</t>
  </si>
  <si>
    <t xml:space="preserve">100044</t>
  </si>
  <si>
    <t xml:space="preserve">Panalytical</t>
  </si>
  <si>
    <t xml:space="preserve">X-PERT</t>
  </si>
  <si>
    <t xml:space="preserve">X-RAY DIFFRACTOMETER</t>
  </si>
  <si>
    <t xml:space="preserve">98624</t>
  </si>
  <si>
    <t xml:space="preserve">Panasonic</t>
  </si>
  <si>
    <t xml:space="preserve">602L CM</t>
  </si>
  <si>
    <t xml:space="preserve">98623</t>
  </si>
  <si>
    <t xml:space="preserve">98622</t>
  </si>
  <si>
    <t xml:space="preserve">97961</t>
  </si>
  <si>
    <t xml:space="preserve">PANASONIC</t>
  </si>
  <si>
    <t xml:space="preserve">DM60M-H</t>
  </si>
  <si>
    <t xml:space="preserve">100680</t>
  </si>
  <si>
    <t xml:space="preserve">NM-SB50A</t>
  </si>
  <si>
    <t xml:space="preserve">Flip Chip Bonder</t>
  </si>
  <si>
    <t xml:space="preserve">97207</t>
  </si>
  <si>
    <t xml:space="preserve">Parmi </t>
  </si>
  <si>
    <t xml:space="preserve">HS60HD </t>
  </si>
  <si>
    <t xml:space="preserve">100862</t>
  </si>
  <si>
    <t xml:space="preserve">Peter-Wolters</t>
  </si>
  <si>
    <t xml:space="preserve">Gemini P200</t>
  </si>
  <si>
    <t xml:space="preserve">Tungsten CMP</t>
  </si>
  <si>
    <t xml:space="preserve">98625</t>
  </si>
  <si>
    <t xml:space="preserve">Pfeiffer</t>
  </si>
  <si>
    <t xml:space="preserve">A100P</t>
  </si>
  <si>
    <t xml:space="preserve">98629</t>
  </si>
  <si>
    <t xml:space="preserve">A803H ELT</t>
  </si>
  <si>
    <t xml:space="preserve">98628</t>
  </si>
  <si>
    <t xml:space="preserve">98627</t>
  </si>
  <si>
    <t xml:space="preserve">98626</t>
  </si>
  <si>
    <t xml:space="preserve">98631</t>
  </si>
  <si>
    <t xml:space="preserve">ADP122H</t>
  </si>
  <si>
    <t xml:space="preserve">98630</t>
  </si>
  <si>
    <t xml:space="preserve">98635</t>
  </si>
  <si>
    <t xml:space="preserve">ADP122P</t>
  </si>
  <si>
    <t xml:space="preserve">98634</t>
  </si>
  <si>
    <t xml:space="preserve">98633</t>
  </si>
  <si>
    <t xml:space="preserve">98632</t>
  </si>
  <si>
    <t xml:space="preserve">98640</t>
  </si>
  <si>
    <t xml:space="preserve">ADS602H</t>
  </si>
  <si>
    <t xml:space="preserve">98639</t>
  </si>
  <si>
    <t xml:space="preserve">98638</t>
  </si>
  <si>
    <t xml:space="preserve">98637</t>
  </si>
  <si>
    <t xml:space="preserve">98636</t>
  </si>
  <si>
    <t xml:space="preserve">98662</t>
  </si>
  <si>
    <t xml:space="preserve">ADS602P</t>
  </si>
  <si>
    <t xml:space="preserve">98661</t>
  </si>
  <si>
    <t xml:space="preserve">98660</t>
  </si>
  <si>
    <t xml:space="preserve">98659</t>
  </si>
  <si>
    <t xml:space="preserve">98658</t>
  </si>
  <si>
    <t xml:space="preserve">98657</t>
  </si>
  <si>
    <t xml:space="preserve">98656</t>
  </si>
  <si>
    <t xml:space="preserve">98655</t>
  </si>
  <si>
    <t xml:space="preserve">98654</t>
  </si>
  <si>
    <t xml:space="preserve">98653</t>
  </si>
  <si>
    <t xml:space="preserve">98652</t>
  </si>
  <si>
    <t xml:space="preserve">98651</t>
  </si>
  <si>
    <t xml:space="preserve">98650</t>
  </si>
  <si>
    <t xml:space="preserve">98649</t>
  </si>
  <si>
    <t xml:space="preserve">98648</t>
  </si>
  <si>
    <t xml:space="preserve">98647</t>
  </si>
  <si>
    <t xml:space="preserve">98646</t>
  </si>
  <si>
    <t xml:space="preserve">98645</t>
  </si>
  <si>
    <t xml:space="preserve">98644</t>
  </si>
  <si>
    <t xml:space="preserve">98643</t>
  </si>
  <si>
    <t xml:space="preserve">98642</t>
  </si>
  <si>
    <t xml:space="preserve">98641</t>
  </si>
  <si>
    <t xml:space="preserve">98670</t>
  </si>
  <si>
    <t xml:space="preserve">RSV1802</t>
  </si>
  <si>
    <t xml:space="preserve">BOOSTER PUMP</t>
  </si>
  <si>
    <t xml:space="preserve">98669</t>
  </si>
  <si>
    <t xml:space="preserve">98668</t>
  </si>
  <si>
    <t xml:space="preserve">98667</t>
  </si>
  <si>
    <t xml:space="preserve">98666</t>
  </si>
  <si>
    <t xml:space="preserve">98665</t>
  </si>
  <si>
    <t xml:space="preserve">98664</t>
  </si>
  <si>
    <t xml:space="preserve">98663</t>
  </si>
  <si>
    <t xml:space="preserve">98685</t>
  </si>
  <si>
    <t xml:space="preserve">RSV1803</t>
  </si>
  <si>
    <t xml:space="preserve">98684</t>
  </si>
  <si>
    <t xml:space="preserve">98683</t>
  </si>
  <si>
    <t xml:space="preserve">98682</t>
  </si>
  <si>
    <t xml:space="preserve">98681</t>
  </si>
  <si>
    <t xml:space="preserve">98680</t>
  </si>
  <si>
    <t xml:space="preserve">98679</t>
  </si>
  <si>
    <t xml:space="preserve">98678</t>
  </si>
  <si>
    <t xml:space="preserve">98677</t>
  </si>
  <si>
    <t xml:space="preserve">98676</t>
  </si>
  <si>
    <t xml:space="preserve">98675</t>
  </si>
  <si>
    <t xml:space="preserve">98674</t>
  </si>
  <si>
    <t xml:space="preserve">98673</t>
  </si>
  <si>
    <t xml:space="preserve">98672</t>
  </si>
  <si>
    <t xml:space="preserve">98671</t>
  </si>
  <si>
    <t xml:space="preserve">98700</t>
  </si>
  <si>
    <t xml:space="preserve">RSV2000</t>
  </si>
  <si>
    <t xml:space="preserve">98699</t>
  </si>
  <si>
    <t xml:space="preserve">98698</t>
  </si>
  <si>
    <t xml:space="preserve">98697</t>
  </si>
  <si>
    <t xml:space="preserve">98696</t>
  </si>
  <si>
    <t xml:space="preserve">98695</t>
  </si>
  <si>
    <t xml:space="preserve">98694</t>
  </si>
  <si>
    <t xml:space="preserve">98693</t>
  </si>
  <si>
    <t xml:space="preserve">98692</t>
  </si>
  <si>
    <t xml:space="preserve">98691</t>
  </si>
  <si>
    <t xml:space="preserve">98690</t>
  </si>
  <si>
    <t xml:space="preserve">98689</t>
  </si>
  <si>
    <t xml:space="preserve">98688</t>
  </si>
  <si>
    <t xml:space="preserve">98687</t>
  </si>
  <si>
    <t xml:space="preserve">98686</t>
  </si>
  <si>
    <t xml:space="preserve">97003</t>
  </si>
  <si>
    <t xml:space="preserve">Philips</t>
  </si>
  <si>
    <t xml:space="preserve">PHI 680</t>
  </si>
  <si>
    <t xml:space="preserve">Auger Nanoprobe</t>
  </si>
  <si>
    <t xml:space="preserve">100795</t>
  </si>
  <si>
    <t xml:space="preserve">XRF 2800</t>
  </si>
  <si>
    <t xml:space="preserve">X-Ray System</t>
  </si>
  <si>
    <t xml:space="preserve">98929</t>
  </si>
  <si>
    <t xml:space="preserve">Phillips</t>
  </si>
  <si>
    <t xml:space="preserve">TreX 610 </t>
  </si>
  <si>
    <t xml:space="preserve">100648</t>
  </si>
  <si>
    <t xml:space="preserve">Phoenix</t>
  </si>
  <si>
    <t xml:space="preserve">100649</t>
  </si>
  <si>
    <t xml:space="preserve">X-Ray PBGA</t>
  </si>
  <si>
    <t xml:space="preserve">98420</t>
  </si>
  <si>
    <t xml:space="preserve">Plasma Therm</t>
  </si>
  <si>
    <t xml:space="preserve">790</t>
  </si>
  <si>
    <t xml:space="preserve">PE CVD System</t>
  </si>
  <si>
    <t xml:space="preserve">98421</t>
  </si>
  <si>
    <t xml:space="preserve">SLR 720</t>
  </si>
  <si>
    <t xml:space="preserve">RIE Etcher</t>
  </si>
  <si>
    <t xml:space="preserve">98423</t>
  </si>
  <si>
    <t xml:space="preserve">VLR</t>
  </si>
  <si>
    <t xml:space="preserve">Plasma Etch ICP</t>
  </si>
  <si>
    <t xml:space="preserve">98422</t>
  </si>
  <si>
    <t xml:space="preserve">97723</t>
  </si>
  <si>
    <t xml:space="preserve">Plasmatherm</t>
  </si>
  <si>
    <t xml:space="preserve">790 Etch</t>
  </si>
  <si>
    <t xml:space="preserve">99403</t>
  </si>
  <si>
    <t xml:space="preserve">PlasmaTherm</t>
  </si>
  <si>
    <t xml:space="preserve">SLR 740</t>
  </si>
  <si>
    <t xml:space="preserve">Dual Chamber RIE / Plasma etch</t>
  </si>
  <si>
    <t xml:space="preserve">99429</t>
  </si>
  <si>
    <t xml:space="preserve">Plasmos</t>
  </si>
  <si>
    <t xml:space="preserve">SD 2004</t>
  </si>
  <si>
    <t xml:space="preserve">Multi-Wavelength Ellipsometer</t>
  </si>
  <si>
    <t xml:space="preserve">98930</t>
  </si>
  <si>
    <t xml:space="preserve">POLYFLOW</t>
  </si>
  <si>
    <t xml:space="preserve">S-1052</t>
  </si>
  <si>
    <t xml:space="preserve">WET Processing</t>
  </si>
  <si>
    <t xml:space="preserve">98932</t>
  </si>
  <si>
    <t xml:space="preserve">S-1055</t>
  </si>
  <si>
    <t xml:space="preserve">98931</t>
  </si>
  <si>
    <t xml:space="preserve">98861</t>
  </si>
  <si>
    <t xml:space="preserve">PolyFlow</t>
  </si>
  <si>
    <t xml:space="preserve">Triple Tower II S-417</t>
  </si>
  <si>
    <t xml:space="preserve">Quartz Cleaner</t>
  </si>
  <si>
    <t xml:space="preserve">100796</t>
  </si>
  <si>
    <t xml:space="preserve">PRI</t>
  </si>
  <si>
    <t xml:space="preserve">Reticle Stocker</t>
  </si>
  <si>
    <t xml:space="preserve">Reticle Stocker (SMIF)</t>
  </si>
  <si>
    <t xml:space="preserve">97962</t>
  </si>
  <si>
    <t xml:space="preserve">PROTEC</t>
  </si>
  <si>
    <t xml:space="preserve">FDS-1000</t>
  </si>
  <si>
    <t xml:space="preserve">97963</t>
  </si>
  <si>
    <t xml:space="preserve">FDS-1000M</t>
  </si>
  <si>
    <t xml:space="preserve">97964</t>
  </si>
  <si>
    <t xml:space="preserve">Innovation T</t>
  </si>
  <si>
    <t xml:space="preserve">97722</t>
  </si>
  <si>
    <t xml:space="preserve">PSC</t>
  </si>
  <si>
    <t xml:space="preserve">DES-220</t>
  </si>
  <si>
    <t xml:space="preserve">98039</t>
  </si>
  <si>
    <t xml:space="preserve">PSK</t>
  </si>
  <si>
    <t xml:space="preserve">DAS 2000</t>
  </si>
  <si>
    <t xml:space="preserve">98038</t>
  </si>
  <si>
    <t xml:space="preserve">98354</t>
  </si>
  <si>
    <t xml:space="preserve">EVOLITE2</t>
  </si>
  <si>
    <t xml:space="preserve">98353</t>
  </si>
  <si>
    <t xml:space="preserve">98355</t>
  </si>
  <si>
    <t xml:space="preserve">SUPRA V</t>
  </si>
  <si>
    <t xml:space="preserve">99927</t>
  </si>
  <si>
    <t xml:space="preserve">SUPRA3</t>
  </si>
  <si>
    <t xml:space="preserve">99926</t>
  </si>
  <si>
    <t xml:space="preserve">99925</t>
  </si>
  <si>
    <t xml:space="preserve">98833</t>
  </si>
  <si>
    <t xml:space="preserve">Asher Dry Strip</t>
  </si>
  <si>
    <t xml:space="preserve">99929</t>
  </si>
  <si>
    <t xml:space="preserve">TERA21</t>
  </si>
  <si>
    <t xml:space="preserve">99928</t>
  </si>
  <si>
    <t xml:space="preserve">99914</t>
  </si>
  <si>
    <t xml:space="preserve">99913</t>
  </si>
  <si>
    <t xml:space="preserve">99034</t>
  </si>
  <si>
    <t xml:space="preserve">99033</t>
  </si>
  <si>
    <t xml:space="preserve">99032</t>
  </si>
  <si>
    <t xml:space="preserve">99031</t>
  </si>
  <si>
    <t xml:space="preserve">98834</t>
  </si>
  <si>
    <t xml:space="preserve">98366</t>
  </si>
  <si>
    <t xml:space="preserve">98365</t>
  </si>
  <si>
    <t xml:space="preserve">98364</t>
  </si>
  <si>
    <t xml:space="preserve">98363</t>
  </si>
  <si>
    <t xml:space="preserve">98362</t>
  </si>
  <si>
    <t xml:space="preserve">98361</t>
  </si>
  <si>
    <t xml:space="preserve">98360</t>
  </si>
  <si>
    <t xml:space="preserve">98359</t>
  </si>
  <si>
    <t xml:space="preserve">98367</t>
  </si>
  <si>
    <t xml:space="preserve">TERA21 (S) SUPRA III</t>
  </si>
  <si>
    <t xml:space="preserve">98170</t>
  </si>
  <si>
    <t xml:space="preserve">Tera 21</t>
  </si>
  <si>
    <t xml:space="preserve">96894</t>
  </si>
  <si>
    <t xml:space="preserve">Tigma N</t>
  </si>
  <si>
    <t xml:space="preserve">100000</t>
  </si>
  <si>
    <t xml:space="preserve">Ultima3</t>
  </si>
  <si>
    <t xml:space="preserve">97208</t>
  </si>
  <si>
    <t xml:space="preserve">PVA </t>
  </si>
  <si>
    <t xml:space="preserve">650</t>
  </si>
  <si>
    <t xml:space="preserve">98424</t>
  </si>
  <si>
    <t xml:space="preserve">Quantronix</t>
  </si>
  <si>
    <t xml:space="preserve">DRS 820</t>
  </si>
  <si>
    <t xml:space="preserve">100003</t>
  </si>
  <si>
    <t xml:space="preserve">RAMCO</t>
  </si>
  <si>
    <t xml:space="preserve">RAM8500</t>
  </si>
  <si>
    <t xml:space="preserve">100002</t>
  </si>
  <si>
    <t xml:space="preserve">100001</t>
  </si>
  <si>
    <t xml:space="preserve">98489</t>
  </si>
  <si>
    <t xml:space="preserve">Raytex</t>
  </si>
  <si>
    <t xml:space="preserve">RXW-0826SFIX-SMIF</t>
  </si>
  <si>
    <t xml:space="preserve">edge scanner</t>
  </si>
  <si>
    <t xml:space="preserve">99239</t>
  </si>
  <si>
    <t xml:space="preserve">RECIF</t>
  </si>
  <si>
    <t xml:space="preserve">SIS300</t>
  </si>
  <si>
    <t xml:space="preserve">Wafer Sorter</t>
  </si>
  <si>
    <t xml:space="preserve">97724</t>
  </si>
  <si>
    <t xml:space="preserve">SPP300</t>
  </si>
  <si>
    <t xml:space="preserve">96898</t>
  </si>
  <si>
    <t xml:space="preserve">96897</t>
  </si>
  <si>
    <t xml:space="preserve">97725</t>
  </si>
  <si>
    <t xml:space="preserve">SRT300</t>
  </si>
  <si>
    <t xml:space="preserve">97734</t>
  </si>
  <si>
    <t xml:space="preserve">ReVera</t>
  </si>
  <si>
    <t xml:space="preserve">RVX1000</t>
  </si>
  <si>
    <t xml:space="preserve">97733</t>
  </si>
  <si>
    <t xml:space="preserve">97732</t>
  </si>
  <si>
    <t xml:space="preserve">99430</t>
  </si>
  <si>
    <t xml:space="preserve">Rigaku</t>
  </si>
  <si>
    <t xml:space="preserve">3640</t>
  </si>
  <si>
    <t xml:space="preserve">X-Ray Fluorescence Wafer/Disk Analyzer</t>
  </si>
  <si>
    <t xml:space="preserve">96900</t>
  </si>
  <si>
    <t xml:space="preserve">MFM310</t>
  </si>
  <si>
    <t xml:space="preserve">X-ray Reflectivity (XRR)</t>
  </si>
  <si>
    <t xml:space="preserve">100797</t>
  </si>
  <si>
    <t xml:space="preserve">XRF 3630</t>
  </si>
  <si>
    <t xml:space="preserve">Wafer Analyzer</t>
  </si>
  <si>
    <t xml:space="preserve">100234</t>
  </si>
  <si>
    <t xml:space="preserve">Risshi</t>
  </si>
  <si>
    <t xml:space="preserve">YR-8030SC-LP</t>
  </si>
  <si>
    <t xml:space="preserve">97174</t>
  </si>
  <si>
    <t xml:space="preserve">RMGT </t>
  </si>
  <si>
    <t xml:space="preserve">Ryobi 524</t>
  </si>
  <si>
    <t xml:space="preserve">98731</t>
  </si>
  <si>
    <t xml:space="preserve">Rofin</t>
  </si>
  <si>
    <t xml:space="preserve">PowerLine D-100 (RSM, Sx)</t>
  </si>
  <si>
    <t xml:space="preserve">Fiber Laser </t>
  </si>
  <si>
    <t xml:space="preserve">98491</t>
  </si>
  <si>
    <t xml:space="preserve">RR701L90-Z20-616</t>
  </si>
  <si>
    <t xml:space="preserve">98490</t>
  </si>
  <si>
    <t xml:space="preserve">RR701L1521-3A3-111-2</t>
  </si>
  <si>
    <t xml:space="preserve">98492</t>
  </si>
  <si>
    <t xml:space="preserve">RR713L1521-3A3-E13-1</t>
  </si>
  <si>
    <t xml:space="preserve">99341</t>
  </si>
  <si>
    <t xml:space="preserve">Rucker &amp; Kolls</t>
  </si>
  <si>
    <t xml:space="preserve">680A</t>
  </si>
  <si>
    <t xml:space="preserve">SEMI-AUTOMATIC PROBER</t>
  </si>
  <si>
    <t xml:space="preserve">100236</t>
  </si>
  <si>
    <t xml:space="preserve">Rudolph</t>
  </si>
  <si>
    <t xml:space="preserve">Axi 930</t>
  </si>
  <si>
    <t xml:space="preserve">100235</t>
  </si>
  <si>
    <t xml:space="preserve">99036</t>
  </si>
  <si>
    <t xml:space="preserve">RUDOLPH</t>
  </si>
  <si>
    <t xml:space="preserve">AXI-S</t>
  </si>
  <si>
    <t xml:space="preserve">Macro Defect Inspection System</t>
  </si>
  <si>
    <t xml:space="preserve">99035</t>
  </si>
  <si>
    <t xml:space="preserve">Macro Wafer Inspection</t>
  </si>
  <si>
    <t xml:space="preserve">98835</t>
  </si>
  <si>
    <t xml:space="preserve">98902</t>
  </si>
  <si>
    <t xml:space="preserve">98836</t>
  </si>
  <si>
    <t xml:space="preserve">AXI-S930B</t>
  </si>
  <si>
    <t xml:space="preserve">98297</t>
  </si>
  <si>
    <t xml:space="preserve">Meta Pulse 300</t>
  </si>
  <si>
    <t xml:space="preserve">Film thickness measurement</t>
  </si>
  <si>
    <t xml:space="preserve">98296</t>
  </si>
  <si>
    <t xml:space="preserve">97030</t>
  </si>
  <si>
    <t xml:space="preserve">METAPULSE-200</t>
  </si>
  <si>
    <t xml:space="preserve">97031</t>
  </si>
  <si>
    <t xml:space="preserve">METAPULSE-III 300XCU</t>
  </si>
  <si>
    <t xml:space="preserve">98298</t>
  </si>
  <si>
    <t xml:space="preserve">MP1-300</t>
  </si>
  <si>
    <t xml:space="preserve">98837</t>
  </si>
  <si>
    <t xml:space="preserve">MP1-300XCU</t>
  </si>
  <si>
    <t xml:space="preserve">98493</t>
  </si>
  <si>
    <t xml:space="preserve">MP200</t>
  </si>
  <si>
    <t xml:space="preserve">Cu Film thickness measurement</t>
  </si>
  <si>
    <t xml:space="preserve">98494</t>
  </si>
  <si>
    <t xml:space="preserve">MP300</t>
  </si>
  <si>
    <t xml:space="preserve">98171</t>
  </si>
  <si>
    <t xml:space="preserve">NSX105C</t>
  </si>
  <si>
    <t xml:space="preserve">Macro Inspection</t>
  </si>
  <si>
    <t xml:space="preserve">97965</t>
  </si>
  <si>
    <t xml:space="preserve">NSX320</t>
  </si>
  <si>
    <t xml:space="preserve">MACRO DEFECT INSPECTOR</t>
  </si>
  <si>
    <t xml:space="preserve">97032</t>
  </si>
  <si>
    <t xml:space="preserve">RUDOLPH/FE-7</t>
  </si>
  <si>
    <t xml:space="preserve">Ellipsometer</t>
  </si>
  <si>
    <t xml:space="preserve">99037</t>
  </si>
  <si>
    <t xml:space="preserve">S3000A</t>
  </si>
  <si>
    <t xml:space="preserve">focused beam ellipsometry</t>
  </si>
  <si>
    <t xml:space="preserve">98838</t>
  </si>
  <si>
    <t xml:space="preserve">focused beam ellipsometry </t>
  </si>
  <si>
    <t xml:space="preserve">97966</t>
  </si>
  <si>
    <t xml:space="preserve">WHS</t>
  </si>
  <si>
    <t xml:space="preserve">97175</t>
  </si>
  <si>
    <t xml:space="preserve">Ryobi</t>
  </si>
  <si>
    <t xml:space="preserve">920PF-8 (8 + 0 / 4 + 4) LED UV</t>
  </si>
  <si>
    <t xml:space="preserve">97176</t>
  </si>
  <si>
    <t xml:space="preserve">Ryobi </t>
  </si>
  <si>
    <t xml:space="preserve">925 +L SLD (IR &amp; UV Drying)</t>
  </si>
  <si>
    <t xml:space="preserve">97177</t>
  </si>
  <si>
    <t xml:space="preserve">Sakurai</t>
  </si>
  <si>
    <t xml:space="preserve"> 466 SD + Coater New Machine</t>
  </si>
  <si>
    <t xml:space="preserve">100745</t>
  </si>
  <si>
    <t xml:space="preserve">Samco</t>
  </si>
  <si>
    <t xml:space="preserve">PC-1000</t>
  </si>
  <si>
    <t xml:space="preserve">98495</t>
  </si>
  <si>
    <t xml:space="preserve">SAMCO</t>
  </si>
  <si>
    <t xml:space="preserve">PD3800 PECVD</t>
  </si>
  <si>
    <t xml:space="preserve">LED – pecvd system</t>
  </si>
  <si>
    <t xml:space="preserve">50/100mm</t>
  </si>
  <si>
    <t xml:space="preserve">100746</t>
  </si>
  <si>
    <t xml:space="preserve">PD-2400L</t>
  </si>
  <si>
    <t xml:space="preserve">98496</t>
  </si>
  <si>
    <t xml:space="preserve">RIE-212 IPC</t>
  </si>
  <si>
    <t xml:space="preserve">LED Reactive Ion Etcher</t>
  </si>
  <si>
    <t xml:space="preserve">97072</t>
  </si>
  <si>
    <t xml:space="preserve">Samsung</t>
  </si>
  <si>
    <t xml:space="preserve">SM411F</t>
  </si>
  <si>
    <t xml:space="preserve">pick and place</t>
  </si>
  <si>
    <t xml:space="preserve">97071</t>
  </si>
  <si>
    <t xml:space="preserve">SM421</t>
  </si>
  <si>
    <t xml:space="preserve">100358</t>
  </si>
  <si>
    <t xml:space="preserve">SCHMID</t>
  </si>
  <si>
    <t xml:space="preserve">GCH</t>
  </si>
  <si>
    <t xml:space="preserve">Glass high quality cleaning system</t>
  </si>
  <si>
    <t xml:space="preserve">100709</t>
  </si>
  <si>
    <t xml:space="preserve">Schroff</t>
  </si>
  <si>
    <t xml:space="preserve">PSM 115</t>
  </si>
  <si>
    <t xml:space="preserve">Power Supply Unit</t>
  </si>
  <si>
    <t xml:space="preserve">98010</t>
  </si>
  <si>
    <t xml:space="preserve">SCP</t>
  </si>
  <si>
    <t xml:space="preserve">Sin/Oxide/TEOS strip wet bench</t>
  </si>
  <si>
    <t xml:space="preserve">98933</t>
  </si>
  <si>
    <t xml:space="preserve">Seiko/Epson</t>
  </si>
  <si>
    <t xml:space="preserve">NS-5040F3 </t>
  </si>
  <si>
    <t xml:space="preserve">High Speed IC Handler</t>
  </si>
  <si>
    <t xml:space="preserve">98227</t>
  </si>
  <si>
    <t xml:space="preserve">Semics</t>
  </si>
  <si>
    <t xml:space="preserve">Opus 3</t>
  </si>
  <si>
    <t xml:space="preserve">97876</t>
  </si>
  <si>
    <t xml:space="preserve">SEMICS</t>
  </si>
  <si>
    <t xml:space="preserve">OPUS II</t>
  </si>
  <si>
    <t xml:space="preserve">97875</t>
  </si>
  <si>
    <t xml:space="preserve">97874</t>
  </si>
  <si>
    <t xml:space="preserve">97873</t>
  </si>
  <si>
    <t xml:space="preserve">97967</t>
  </si>
  <si>
    <t xml:space="preserve">OPUS3</t>
  </si>
  <si>
    <t xml:space="preserve">PROBER</t>
  </si>
  <si>
    <t xml:space="preserve">100747</t>
  </si>
  <si>
    <t xml:space="preserve">Semilab</t>
  </si>
  <si>
    <t xml:space="preserve">WT-2000PVN</t>
  </si>
  <si>
    <t xml:space="preserve">99431</t>
  </si>
  <si>
    <t xml:space="preserve">Semitec</t>
  </si>
  <si>
    <t xml:space="preserve">S1425</t>
  </si>
  <si>
    <t xml:space="preserve">100799</t>
  </si>
  <si>
    <t xml:space="preserve">Raider</t>
  </si>
  <si>
    <t xml:space="preserve">ECD</t>
  </si>
  <si>
    <t xml:space="preserve">100798</t>
  </si>
  <si>
    <t xml:space="preserve">ECD 10</t>
  </si>
  <si>
    <t xml:space="preserve">98172</t>
  </si>
  <si>
    <t xml:space="preserve">Raider ECD314</t>
  </si>
  <si>
    <t xml:space="preserve">100800</t>
  </si>
  <si>
    <t xml:space="preserve">Spectrum</t>
  </si>
  <si>
    <t xml:space="preserve">Spray Solvent Tool</t>
  </si>
  <si>
    <t xml:space="preserve">100804</t>
  </si>
  <si>
    <t xml:space="preserve">100803</t>
  </si>
  <si>
    <t xml:space="preserve">100802</t>
  </si>
  <si>
    <t xml:space="preserve">100801</t>
  </si>
  <si>
    <t xml:space="preserve">100805</t>
  </si>
  <si>
    <t xml:space="preserve">SST 201 (Cintillio)</t>
  </si>
  <si>
    <t xml:space="preserve">Spray Solvent Tool (1 Chamber)</t>
  </si>
  <si>
    <t xml:space="preserve">100806</t>
  </si>
  <si>
    <t xml:space="preserve">SST 742</t>
  </si>
  <si>
    <t xml:space="preserve">98011</t>
  </si>
  <si>
    <t xml:space="preserve">ST-880S</t>
  </si>
  <si>
    <t xml:space="preserve">100807</t>
  </si>
  <si>
    <t xml:space="preserve">STORM</t>
  </si>
  <si>
    <t xml:space="preserve">Wafer Cassette Cleaner</t>
  </si>
  <si>
    <t xml:space="preserve">100809</t>
  </si>
  <si>
    <t xml:space="preserve">STORM II</t>
  </si>
  <si>
    <t xml:space="preserve">100808</t>
  </si>
  <si>
    <t xml:space="preserve">98862</t>
  </si>
  <si>
    <t xml:space="preserve">Semix</t>
  </si>
  <si>
    <t xml:space="preserve">Tazmo</t>
  </si>
  <si>
    <t xml:space="preserve">SOG track</t>
  </si>
  <si>
    <t xml:space="preserve">99968</t>
  </si>
  <si>
    <t xml:space="preserve">SEN</t>
  </si>
  <si>
    <t xml:space="preserve">NV-GSD-HE</t>
  </si>
  <si>
    <t xml:space="preserve">High Energy Ion Implanter</t>
  </si>
  <si>
    <t xml:space="preserve">100238</t>
  </si>
  <si>
    <t xml:space="preserve">100237</t>
  </si>
  <si>
    <t xml:space="preserve">97736</t>
  </si>
  <si>
    <t xml:space="preserve">SES</t>
  </si>
  <si>
    <t xml:space="preserve">BW3000X</t>
  </si>
  <si>
    <t xml:space="preserve">97735</t>
  </si>
  <si>
    <t xml:space="preserve">100004</t>
  </si>
  <si>
    <t xml:space="preserve">SEZ</t>
  </si>
  <si>
    <t xml:space="preserve">203</t>
  </si>
  <si>
    <t xml:space="preserve">Spin Etcher</t>
  </si>
  <si>
    <t xml:space="preserve">100810</t>
  </si>
  <si>
    <t xml:space="preserve">Spin Etcher (1 Chamber)</t>
  </si>
  <si>
    <t xml:space="preserve">100811</t>
  </si>
  <si>
    <t xml:space="preserve">223</t>
  </si>
  <si>
    <t xml:space="preserve">Spin Etcher (2 Chamber)</t>
  </si>
  <si>
    <t xml:space="preserve">100005</t>
  </si>
  <si>
    <t xml:space="preserve">304</t>
  </si>
  <si>
    <t xml:space="preserve">100812</t>
  </si>
  <si>
    <t xml:space="preserve">100813</t>
  </si>
  <si>
    <t xml:space="preserve">305</t>
  </si>
  <si>
    <t xml:space="preserve">100819</t>
  </si>
  <si>
    <t xml:space="preserve">323</t>
  </si>
  <si>
    <t xml:space="preserve">100818</t>
  </si>
  <si>
    <t xml:space="preserve">100817</t>
  </si>
  <si>
    <t xml:space="preserve">100816</t>
  </si>
  <si>
    <t xml:space="preserve">100815</t>
  </si>
  <si>
    <t xml:space="preserve">100814</t>
  </si>
  <si>
    <t xml:space="preserve">100820</t>
  </si>
  <si>
    <t xml:space="preserve">4300</t>
  </si>
  <si>
    <t xml:space="preserve">Spin Etcher (4 Chamber)</t>
  </si>
  <si>
    <t xml:space="preserve">100823</t>
  </si>
  <si>
    <t xml:space="preserve">DV34</t>
  </si>
  <si>
    <t xml:space="preserve">100822</t>
  </si>
  <si>
    <t xml:space="preserve">100821</t>
  </si>
  <si>
    <t xml:space="preserve">100824</t>
  </si>
  <si>
    <t xml:space="preserve">DV38</t>
  </si>
  <si>
    <t xml:space="preserve">Spin Etcher (8 Chambers)</t>
  </si>
  <si>
    <t xml:space="preserve">100825</t>
  </si>
  <si>
    <t xml:space="preserve">ES34</t>
  </si>
  <si>
    <t xml:space="preserve">100826</t>
  </si>
  <si>
    <t xml:space="preserve">RST100</t>
  </si>
  <si>
    <t xml:space="preserve">100827</t>
  </si>
  <si>
    <t xml:space="preserve">RST101</t>
  </si>
  <si>
    <t xml:space="preserve">100829</t>
  </si>
  <si>
    <t xml:space="preserve">RST201</t>
  </si>
  <si>
    <t xml:space="preserve">100828</t>
  </si>
  <si>
    <t xml:space="preserve">100239</t>
  </si>
  <si>
    <t xml:space="preserve">SP323</t>
  </si>
  <si>
    <t xml:space="preserve">100681</t>
  </si>
  <si>
    <t xml:space="preserve">Shibasoku</t>
  </si>
  <si>
    <t xml:space="preserve">S230</t>
  </si>
  <si>
    <t xml:space="preserve">13</t>
  </si>
  <si>
    <t xml:space="preserve">97738</t>
  </si>
  <si>
    <t xml:space="preserve">Shibaura</t>
  </si>
  <si>
    <t xml:space="preserve">CDE-300</t>
  </si>
  <si>
    <t xml:space="preserve">97968</t>
  </si>
  <si>
    <t xml:space="preserve">SHIBUYA</t>
  </si>
  <si>
    <t xml:space="preserve">EH182</t>
  </si>
  <si>
    <t xml:space="preserve">97969</t>
  </si>
  <si>
    <t xml:space="preserve">ETM465</t>
  </si>
  <si>
    <t xml:space="preserve">97970</t>
  </si>
  <si>
    <t xml:space="preserve">ETM480</t>
  </si>
  <si>
    <t xml:space="preserve">100682</t>
  </si>
  <si>
    <t xml:space="preserve">SHIMADZU</t>
  </si>
  <si>
    <t xml:space="preserve">SMX225CT</t>
  </si>
  <si>
    <t xml:space="preserve">X-ray inspection System</t>
  </si>
  <si>
    <t xml:space="preserve">100717</t>
  </si>
  <si>
    <t xml:space="preserve">Shimadzu</t>
  </si>
  <si>
    <t xml:space="preserve">SMX-160CT-SV3S</t>
  </si>
  <si>
    <t xml:space="preserve">X-Ray Analysis System</t>
  </si>
  <si>
    <t xml:space="preserve">99343</t>
  </si>
  <si>
    <t xml:space="preserve">Shinkawa</t>
  </si>
  <si>
    <t xml:space="preserve">ACB35</t>
  </si>
  <si>
    <t xml:space="preserve">99342</t>
  </si>
  <si>
    <t xml:space="preserve">99344</t>
  </si>
  <si>
    <t xml:space="preserve">ACB35 </t>
  </si>
  <si>
    <t xml:space="preserve">99346</t>
  </si>
  <si>
    <t xml:space="preserve">ACB400</t>
  </si>
  <si>
    <t xml:space="preserve">99345</t>
  </si>
  <si>
    <t xml:space="preserve">100683</t>
  </si>
  <si>
    <t xml:space="preserve">SBB410</t>
  </si>
  <si>
    <t xml:space="preserve">Bump Bonder</t>
  </si>
  <si>
    <t xml:space="preserve">100713</t>
  </si>
  <si>
    <t xml:space="preserve">SPA300Super</t>
  </si>
  <si>
    <t xml:space="preserve">97971</t>
  </si>
  <si>
    <t xml:space="preserve">SHINKAWA</t>
  </si>
  <si>
    <t xml:space="preserve">SPA400</t>
  </si>
  <si>
    <t xml:space="preserve">100045</t>
  </si>
  <si>
    <t xml:space="preserve">SPA-300 Super</t>
  </si>
  <si>
    <t xml:space="preserve">99360</t>
  </si>
  <si>
    <t xml:space="preserve">UTC1000</t>
  </si>
  <si>
    <t xml:space="preserve">99359</t>
  </si>
  <si>
    <t xml:space="preserve">99358</t>
  </si>
  <si>
    <t xml:space="preserve">99357</t>
  </si>
  <si>
    <t xml:space="preserve">99356</t>
  </si>
  <si>
    <t xml:space="preserve">99355</t>
  </si>
  <si>
    <t xml:space="preserve">99354</t>
  </si>
  <si>
    <t xml:space="preserve">99353</t>
  </si>
  <si>
    <t xml:space="preserve">99352</t>
  </si>
  <si>
    <t xml:space="preserve">99351</t>
  </si>
  <si>
    <t xml:space="preserve">99350</t>
  </si>
  <si>
    <t xml:space="preserve">99349</t>
  </si>
  <si>
    <t xml:space="preserve">99348</t>
  </si>
  <si>
    <t xml:space="preserve">100684</t>
  </si>
  <si>
    <t xml:space="preserve">UTC-2000</t>
  </si>
  <si>
    <t xml:space="preserve">97974</t>
  </si>
  <si>
    <t xml:space="preserve">SHINKAWA </t>
  </si>
  <si>
    <t xml:space="preserve">UTC-2000 Super</t>
  </si>
  <si>
    <t xml:space="preserve">42</t>
  </si>
  <si>
    <t xml:space="preserve">97975</t>
  </si>
  <si>
    <t xml:space="preserve">UTC-3000</t>
  </si>
  <si>
    <t xml:space="preserve">97877</t>
  </si>
  <si>
    <t xml:space="preserve">Siemens</t>
  </si>
  <si>
    <t xml:space="preserve">3 DIMESION MEA</t>
  </si>
  <si>
    <t xml:space="preserve">FAB-METROLOGY</t>
  </si>
  <si>
    <t xml:space="preserve">99362</t>
  </si>
  <si>
    <t xml:space="preserve">Siplace HS 50</t>
  </si>
  <si>
    <t xml:space="preserve">pick and place mounter</t>
  </si>
  <si>
    <t xml:space="preserve">97900</t>
  </si>
  <si>
    <t xml:space="preserve">Simec</t>
  </si>
  <si>
    <t xml:space="preserve">SW1200</t>
  </si>
  <si>
    <t xml:space="preserve">Cutting circular machine diameter 1000mm</t>
  </si>
  <si>
    <t xml:space="preserve">97080</t>
  </si>
  <si>
    <t xml:space="preserve">Singulus</t>
  </si>
  <si>
    <t xml:space="preserve">S-000414</t>
  </si>
  <si>
    <t xml:space="preserve">Singular</t>
  </si>
  <si>
    <t xml:space="preserve">100748</t>
  </si>
  <si>
    <t xml:space="preserve">Solid State</t>
  </si>
  <si>
    <t xml:space="preserve">M3303</t>
  </si>
  <si>
    <t xml:space="preserve">100650</t>
  </si>
  <si>
    <t xml:space="preserve">Sonoscan</t>
  </si>
  <si>
    <t xml:space="preserve">C-SAM D6000</t>
  </si>
  <si>
    <t xml:space="preserve">Acoustic Microscope</t>
  </si>
  <si>
    <t xml:space="preserve">97878</t>
  </si>
  <si>
    <t xml:space="preserve">SOUTH BAY TECHNOLOGY, INC.</t>
  </si>
  <si>
    <t xml:space="preserve">IBSe DD</t>
  </si>
  <si>
    <t xml:space="preserve">IBS(Ion Coating)</t>
  </si>
  <si>
    <t xml:space="preserve">98866</t>
  </si>
  <si>
    <t xml:space="preserve">FOR SALE</t>
  </si>
  <si>
    <t xml:space="preserve">Power Supplies/Pumps/Controllers</t>
  </si>
  <si>
    <t xml:space="preserve">99271</t>
  </si>
  <si>
    <t xml:space="preserve">Spea</t>
  </si>
  <si>
    <t xml:space="preserve">4040</t>
  </si>
  <si>
    <t xml:space="preserve">Flying Probe</t>
  </si>
  <si>
    <t xml:space="preserve">SMT / Test</t>
  </si>
  <si>
    <t xml:space="preserve">100348</t>
  </si>
  <si>
    <t xml:space="preserve">C430MX ATOP</t>
  </si>
  <si>
    <t xml:space="preserve">Dual Site Tester System</t>
  </si>
  <si>
    <t xml:space="preserve">100831</t>
  </si>
  <si>
    <t xml:space="preserve">Speedfam/IPEC</t>
  </si>
  <si>
    <t xml:space="preserve">Avanti 472</t>
  </si>
  <si>
    <t xml:space="preserve">CMP Polisher</t>
  </si>
  <si>
    <t xml:space="preserve">100830</t>
  </si>
  <si>
    <t xml:space="preserve">98225</t>
  </si>
  <si>
    <t xml:space="preserve">SRM</t>
  </si>
  <si>
    <t xml:space="preserve">XD206</t>
  </si>
  <si>
    <t xml:space="preserve">98012</t>
  </si>
  <si>
    <t xml:space="preserve">SSM</t>
  </si>
  <si>
    <t xml:space="preserve">SSM 6100</t>
  </si>
  <si>
    <t xml:space="preserve">CV IMPLANT-CV CURVES</t>
  </si>
  <si>
    <t xml:space="preserve">97976</t>
  </si>
  <si>
    <t xml:space="preserve">STI</t>
  </si>
  <si>
    <t xml:space="preserve">ISORT</t>
  </si>
  <si>
    <t xml:space="preserve">97977</t>
  </si>
  <si>
    <t xml:space="preserve">TR48MKIII</t>
  </si>
  <si>
    <t xml:space="preserve">TAPE &amp; REEL</t>
  </si>
  <si>
    <t xml:space="preserve">100047</t>
  </si>
  <si>
    <t xml:space="preserve">TR-48II</t>
  </si>
  <si>
    <t xml:space="preserve">Tape &amp; Reel</t>
  </si>
  <si>
    <t xml:space="preserve">100046</t>
  </si>
  <si>
    <t xml:space="preserve">99906</t>
  </si>
  <si>
    <t xml:space="preserve">STRASBAUGH</t>
  </si>
  <si>
    <t xml:space="preserve">7AFB</t>
  </si>
  <si>
    <t xml:space="preserve">99829</t>
  </si>
  <si>
    <t xml:space="preserve">STS (SPTS)</t>
  </si>
  <si>
    <t xml:space="preserve">Primaxx HR ICP</t>
  </si>
  <si>
    <t xml:space="preserve">98497</t>
  </si>
  <si>
    <t xml:space="preserve">SUSS</t>
  </si>
  <si>
    <t xml:space="preserve">ACS-200</t>
  </si>
  <si>
    <t xml:space="preserve">100833</t>
  </si>
  <si>
    <t xml:space="preserve">Suss Microtec</t>
  </si>
  <si>
    <t xml:space="preserve">ACS200/Falcon</t>
  </si>
  <si>
    <t xml:space="preserve">Coater/Developer</t>
  </si>
  <si>
    <t xml:space="preserve">100832</t>
  </si>
  <si>
    <t xml:space="preserve">100834</t>
  </si>
  <si>
    <t xml:space="preserve">ACS300</t>
  </si>
  <si>
    <t xml:space="preserve">98426</t>
  </si>
  <si>
    <t xml:space="preserve">Suss MicroTec</t>
  </si>
  <si>
    <t xml:space="preserve">Delta 20T</t>
  </si>
  <si>
    <t xml:space="preserve">Spin Coater</t>
  </si>
  <si>
    <t xml:space="preserve">100835</t>
  </si>
  <si>
    <t xml:space="preserve">99869</t>
  </si>
  <si>
    <t xml:space="preserve">SVG</t>
  </si>
  <si>
    <t xml:space="preserve">98427</t>
  </si>
  <si>
    <t xml:space="preserve">8600</t>
  </si>
  <si>
    <t xml:space="preserve">Dual Track Coat/Develop 00mm</t>
  </si>
  <si>
    <t xml:space="preserve">98429</t>
  </si>
  <si>
    <t xml:space="preserve">Developer Track</t>
  </si>
  <si>
    <t xml:space="preserve">98428</t>
  </si>
  <si>
    <t xml:space="preserve">98433</t>
  </si>
  <si>
    <t xml:space="preserve">Resist Coater</t>
  </si>
  <si>
    <t xml:space="preserve">98432</t>
  </si>
  <si>
    <t xml:space="preserve">98431</t>
  </si>
  <si>
    <t xml:space="preserve">98430</t>
  </si>
  <si>
    <t xml:space="preserve">100749</t>
  </si>
  <si>
    <t xml:space="preserve">SVG 8800</t>
  </si>
  <si>
    <t xml:space="preserve">Auto Coater</t>
  </si>
  <si>
    <t xml:space="preserve">100750</t>
  </si>
  <si>
    <t xml:space="preserve">SVS</t>
  </si>
  <si>
    <t xml:space="preserve">MSX1000</t>
  </si>
  <si>
    <t xml:space="preserve">Auto Develop</t>
  </si>
  <si>
    <t xml:space="preserve">98934</t>
  </si>
  <si>
    <t xml:space="preserve">Synax</t>
  </si>
  <si>
    <t xml:space="preserve">SX-170N Full </t>
  </si>
  <si>
    <t xml:space="preserve">Automatic Handler</t>
  </si>
  <si>
    <t xml:space="preserve">97978</t>
  </si>
  <si>
    <t xml:space="preserve">TAKATORI</t>
  </si>
  <si>
    <t xml:space="preserve">ATM-8100</t>
  </si>
  <si>
    <t xml:space="preserve">99060</t>
  </si>
  <si>
    <t xml:space="preserve">Takatori</t>
  </si>
  <si>
    <t xml:space="preserve">ATM-8200</t>
  </si>
  <si>
    <t xml:space="preserve">FULLY AUTOMATIC WAFER MOUNTER</t>
  </si>
  <si>
    <t xml:space="preserve">97979</t>
  </si>
  <si>
    <t xml:space="preserve">98852</t>
  </si>
  <si>
    <t xml:space="preserve">100751</t>
  </si>
  <si>
    <t xml:space="preserve">MWS-610SD</t>
  </si>
  <si>
    <t xml:space="preserve">Wire Cutting Machine</t>
  </si>
  <si>
    <t xml:space="preserve">100752</t>
  </si>
  <si>
    <t xml:space="preserve">MWS-812SD</t>
  </si>
  <si>
    <t xml:space="preserve">98368</t>
  </si>
  <si>
    <t xml:space="preserve">TAZMO</t>
  </si>
  <si>
    <t xml:space="preserve">WSS12101M</t>
  </si>
  <si>
    <t xml:space="preserve">BONDER</t>
  </si>
  <si>
    <t xml:space="preserve">96921</t>
  </si>
  <si>
    <t xml:space="preserve">Teikoku</t>
  </si>
  <si>
    <t xml:space="preserve">DXL2-800HS-BL-CE</t>
  </si>
  <si>
    <t xml:space="preserve">Tape Laminator</t>
  </si>
  <si>
    <t xml:space="preserve">98434</t>
  </si>
  <si>
    <t xml:space="preserve">DXL-800HSLDS</t>
  </si>
  <si>
    <t xml:space="preserve">Laminator / Taper</t>
  </si>
  <si>
    <t xml:space="preserve">97879</t>
  </si>
  <si>
    <t xml:space="preserve">1745A</t>
  </si>
  <si>
    <t xml:space="preserve">Oscilloscope</t>
  </si>
  <si>
    <t xml:space="preserve">97880</t>
  </si>
  <si>
    <t xml:space="preserve">TDS380</t>
  </si>
  <si>
    <t xml:space="preserve">97882</t>
  </si>
  <si>
    <t xml:space="preserve">TDS684A</t>
  </si>
  <si>
    <t xml:space="preserve">98040</t>
  </si>
  <si>
    <t xml:space="preserve">TEKTRONIX</t>
  </si>
  <si>
    <t xml:space="preserve">TDS720P</t>
  </si>
  <si>
    <t xml:space="preserve">97883</t>
  </si>
  <si>
    <t xml:space="preserve">TDS754C</t>
  </si>
  <si>
    <t xml:space="preserve">97884</t>
  </si>
  <si>
    <t xml:space="preserve">TDS754D</t>
  </si>
  <si>
    <t xml:space="preserve">97881</t>
  </si>
  <si>
    <t xml:space="preserve">TDS5054</t>
  </si>
  <si>
    <t xml:space="preserve">97886</t>
  </si>
  <si>
    <t xml:space="preserve">TLA714</t>
  </si>
  <si>
    <t xml:space="preserve">97885</t>
  </si>
  <si>
    <t xml:space="preserve">98013</t>
  </si>
  <si>
    <t xml:space="preserve">TEL</t>
  </si>
  <si>
    <t xml:space="preserve">MB2-730-Wsi</t>
  </si>
  <si>
    <t xml:space="preserve">99042</t>
  </si>
  <si>
    <t xml:space="preserve">TEL Tokyo Electron</t>
  </si>
  <si>
    <t xml:space="preserve">A303I</t>
  </si>
  <si>
    <t xml:space="preserve">99041</t>
  </si>
  <si>
    <t xml:space="preserve">99040</t>
  </si>
  <si>
    <t xml:space="preserve">99039</t>
  </si>
  <si>
    <t xml:space="preserve">99038</t>
  </si>
  <si>
    <t xml:space="preserve">98839</t>
  </si>
  <si>
    <t xml:space="preserve">98904</t>
  </si>
  <si>
    <t xml:space="preserve">Furnace LPCVD-HLD(TEOS-SiO2)</t>
  </si>
  <si>
    <t xml:space="preserve">98903</t>
  </si>
  <si>
    <t xml:space="preserve">98177</t>
  </si>
  <si>
    <t xml:space="preserve">ACT8 Single</t>
  </si>
  <si>
    <t xml:space="preserve">COT/DEV</t>
  </si>
  <si>
    <t xml:space="preserve">98176</t>
  </si>
  <si>
    <t xml:space="preserve">98175</t>
  </si>
  <si>
    <t xml:space="preserve">98174</t>
  </si>
  <si>
    <t xml:space="preserve">98173</t>
  </si>
  <si>
    <t xml:space="preserve">99043</t>
  </si>
  <si>
    <t xml:space="preserve">ACT12</t>
  </si>
  <si>
    <t xml:space="preserve">100009</t>
  </si>
  <si>
    <t xml:space="preserve">Coater/Developer Track</t>
  </si>
  <si>
    <t xml:space="preserve">99547</t>
  </si>
  <si>
    <t xml:space="preserve">ACT12(1C2D)</t>
  </si>
  <si>
    <t xml:space="preserve">Photoresist coater and developer track</t>
  </si>
  <si>
    <t xml:space="preserve">96986</t>
  </si>
  <si>
    <t xml:space="preserve">ACT 8</t>
  </si>
  <si>
    <t xml:space="preserve">Track</t>
  </si>
  <si>
    <t xml:space="preserve">97458</t>
  </si>
  <si>
    <t xml:space="preserve">ACT 12</t>
  </si>
  <si>
    <t xml:space="preserve">Resist Coater/Developer</t>
  </si>
  <si>
    <t xml:space="preserve">100249</t>
  </si>
  <si>
    <t xml:space="preserve">Single Block (Resist Coater/Developer)</t>
  </si>
  <si>
    <t xml:space="preserve">99870</t>
  </si>
  <si>
    <t xml:space="preserve">Alpha 8S</t>
  </si>
  <si>
    <t xml:space="preserve">100010</t>
  </si>
  <si>
    <t xml:space="preserve">Alpha 8S-Z</t>
  </si>
  <si>
    <t xml:space="preserve">100240</t>
  </si>
  <si>
    <t xml:space="preserve">ALPHA-303i</t>
  </si>
  <si>
    <t xml:space="preserve">97763</t>
  </si>
  <si>
    <t xml:space="preserve">97762</t>
  </si>
  <si>
    <t xml:space="preserve">100243</t>
  </si>
  <si>
    <t xml:space="preserve">ALPHA-303i Anneal</t>
  </si>
  <si>
    <t xml:space="preserve">Vertical Anneal Furnace</t>
  </si>
  <si>
    <t xml:space="preserve">100242</t>
  </si>
  <si>
    <t xml:space="preserve">100241</t>
  </si>
  <si>
    <t xml:space="preserve">100248</t>
  </si>
  <si>
    <t xml:space="preserve">ALPHA-303i Nitride</t>
  </si>
  <si>
    <t xml:space="preserve">Vertical Nitride Furnace</t>
  </si>
  <si>
    <t xml:space="preserve">100247</t>
  </si>
  <si>
    <t xml:space="preserve">100246</t>
  </si>
  <si>
    <t xml:space="preserve">100245</t>
  </si>
  <si>
    <t xml:space="preserve">100244</t>
  </si>
  <si>
    <t xml:space="preserve">97828</t>
  </si>
  <si>
    <t xml:space="preserve">97827</t>
  </si>
  <si>
    <t xml:space="preserve">98178</t>
  </si>
  <si>
    <t xml:space="preserve">Alpha-303i-K</t>
  </si>
  <si>
    <t xml:space="preserve">HTO/SiN</t>
  </si>
  <si>
    <t xml:space="preserve">98179</t>
  </si>
  <si>
    <t xml:space="preserve">MTO</t>
  </si>
  <si>
    <t xml:space="preserve">98180</t>
  </si>
  <si>
    <t xml:space="preserve">Phosphine-Nitride Anneal (TOINB)</t>
  </si>
  <si>
    <t xml:space="preserve">98181</t>
  </si>
  <si>
    <t xml:space="preserve">Vertical Furnace, HSQ Anneal</t>
  </si>
  <si>
    <t xml:space="preserve">97768</t>
  </si>
  <si>
    <t xml:space="preserve">Cellesta+</t>
  </si>
  <si>
    <t xml:space="preserve">97773</t>
  </si>
  <si>
    <t xml:space="preserve">Expedius</t>
  </si>
  <si>
    <t xml:space="preserve">100839</t>
  </si>
  <si>
    <t xml:space="preserve">Expedius +</t>
  </si>
  <si>
    <t xml:space="preserve">100838</t>
  </si>
  <si>
    <t xml:space="preserve">97781</t>
  </si>
  <si>
    <t xml:space="preserve">FORMULA</t>
  </si>
  <si>
    <t xml:space="preserve">97780</t>
  </si>
  <si>
    <t xml:space="preserve">97778</t>
  </si>
  <si>
    <t xml:space="preserve">98301</t>
  </si>
  <si>
    <t xml:space="preserve">98300</t>
  </si>
  <si>
    <t xml:space="preserve">98299</t>
  </si>
  <si>
    <t xml:space="preserve">100836</t>
  </si>
  <si>
    <t xml:space="preserve">Formula Nitride</t>
  </si>
  <si>
    <t xml:space="preserve">LPCVD</t>
  </si>
  <si>
    <t xml:space="preserve">97792</t>
  </si>
  <si>
    <t xml:space="preserve">FORMULA Nitride</t>
  </si>
  <si>
    <t xml:space="preserve">97791</t>
  </si>
  <si>
    <t xml:space="preserve">97790</t>
  </si>
  <si>
    <t xml:space="preserve">97787</t>
  </si>
  <si>
    <t xml:space="preserve">100837</t>
  </si>
  <si>
    <t xml:space="preserve">Formula Oxide</t>
  </si>
  <si>
    <t xml:space="preserve">98840</t>
  </si>
  <si>
    <t xml:space="preserve">INDY</t>
  </si>
  <si>
    <t xml:space="preserve">100049</t>
  </si>
  <si>
    <t xml:space="preserve">100048</t>
  </si>
  <si>
    <t xml:space="preserve">97034</t>
  </si>
  <si>
    <t xml:space="preserve">Furnace Anneal</t>
  </si>
  <si>
    <t xml:space="preserve">100696</t>
  </si>
  <si>
    <t xml:space="preserve">Poly Furnace</t>
  </si>
  <si>
    <t xml:space="preserve">99045</t>
  </si>
  <si>
    <t xml:space="preserve">99044</t>
  </si>
  <si>
    <t xml:space="preserve">98305</t>
  </si>
  <si>
    <t xml:space="preserve">98304</t>
  </si>
  <si>
    <t xml:space="preserve">98303</t>
  </si>
  <si>
    <t xml:space="preserve">98302</t>
  </si>
  <si>
    <t xml:space="preserve">97035</t>
  </si>
  <si>
    <t xml:space="preserve">INDY PLUS</t>
  </si>
  <si>
    <t xml:space="preserve">LPCVD ALD-HfO</t>
  </si>
  <si>
    <t xml:space="preserve">100011</t>
  </si>
  <si>
    <t xml:space="preserve">Lithius</t>
  </si>
  <si>
    <t xml:space="preserve">98182</t>
  </si>
  <si>
    <t xml:space="preserve">LITHIUS</t>
  </si>
  <si>
    <t xml:space="preserve">99046</t>
  </si>
  <si>
    <t xml:space="preserve">97036</t>
  </si>
  <si>
    <t xml:space="preserve">Track Coater Developer</t>
  </si>
  <si>
    <t xml:space="preserve">100250</t>
  </si>
  <si>
    <t xml:space="preserve">LITHIUS i+</t>
  </si>
  <si>
    <t xml:space="preserve">Multi Block (Resist Coater/Developer)</t>
  </si>
  <si>
    <t xml:space="preserve">99950</t>
  </si>
  <si>
    <t xml:space="preserve">Lithius Pro</t>
  </si>
  <si>
    <t xml:space="preserve">100349</t>
  </si>
  <si>
    <t xml:space="preserve">LSS A 1200</t>
  </si>
  <si>
    <t xml:space="preserve">laser scribing system for pattern 1</t>
  </si>
  <si>
    <t xml:space="preserve">100350</t>
  </si>
  <si>
    <t xml:space="preserve">LSS B 1200</t>
  </si>
  <si>
    <t xml:space="preserve">laser scribing system for patterns 2 and 3</t>
  </si>
  <si>
    <t xml:space="preserve">100013</t>
  </si>
  <si>
    <t xml:space="preserve">Mark 8</t>
  </si>
  <si>
    <t xml:space="preserve">Clean Track</t>
  </si>
  <si>
    <t xml:space="preserve">100012</t>
  </si>
  <si>
    <t xml:space="preserve">98041</t>
  </si>
  <si>
    <t xml:space="preserve">Mark 8 (Parts)</t>
  </si>
  <si>
    <t xml:space="preserve">I/F Block (Mark8 - i11D)</t>
  </si>
  <si>
    <t xml:space="preserve">99872</t>
  </si>
  <si>
    <t xml:space="preserve">Mark V</t>
  </si>
  <si>
    <t xml:space="preserve">2 Coat 2 Dev Track</t>
  </si>
  <si>
    <t xml:space="preserve">99871</t>
  </si>
  <si>
    <t xml:space="preserve">2 Coat 2 Track</t>
  </si>
  <si>
    <t xml:space="preserve">100014</t>
  </si>
  <si>
    <t xml:space="preserve">Clean Track 2D</t>
  </si>
  <si>
    <t xml:space="preserve">99873</t>
  </si>
  <si>
    <t xml:space="preserve">Mark Vz</t>
  </si>
  <si>
    <t xml:space="preserve">1C2D+WEE Track</t>
  </si>
  <si>
    <t xml:space="preserve">98306</t>
  </si>
  <si>
    <t xml:space="preserve">Mark-Vz</t>
  </si>
  <si>
    <t xml:space="preserve">Coater/Developer 1C 2D</t>
  </si>
  <si>
    <t xml:space="preserve">98183</t>
  </si>
  <si>
    <t xml:space="preserve">NS300</t>
  </si>
  <si>
    <t xml:space="preserve">WAFER SCRUBBER</t>
  </si>
  <si>
    <t xml:space="preserve">100252</t>
  </si>
  <si>
    <t xml:space="preserve">NS 300</t>
  </si>
  <si>
    <t xml:space="preserve">98250</t>
  </si>
  <si>
    <t xml:space="preserve">100015</t>
  </si>
  <si>
    <t xml:space="preserve">P8-XL</t>
  </si>
  <si>
    <t xml:space="preserve">98251</t>
  </si>
  <si>
    <t xml:space="preserve">98252</t>
  </si>
  <si>
    <t xml:space="preserve">P8XLm</t>
  </si>
  <si>
    <t xml:space="preserve">99915</t>
  </si>
  <si>
    <t xml:space="preserve">P12XLM</t>
  </si>
  <si>
    <t xml:space="preserve">98254</t>
  </si>
  <si>
    <t xml:space="preserve">P12XLn</t>
  </si>
  <si>
    <t xml:space="preserve">98253</t>
  </si>
  <si>
    <t xml:space="preserve">100264</t>
  </si>
  <si>
    <t xml:space="preserve">P-12XL</t>
  </si>
  <si>
    <t xml:space="preserve">100263</t>
  </si>
  <si>
    <t xml:space="preserve">100262</t>
  </si>
  <si>
    <t xml:space="preserve">100261</t>
  </si>
  <si>
    <t xml:space="preserve">100260</t>
  </si>
  <si>
    <t xml:space="preserve">100259</t>
  </si>
  <si>
    <t xml:space="preserve">100258</t>
  </si>
  <si>
    <t xml:space="preserve">100257</t>
  </si>
  <si>
    <t xml:space="preserve">100256</t>
  </si>
  <si>
    <t xml:space="preserve">100255</t>
  </si>
  <si>
    <t xml:space="preserve">100254</t>
  </si>
  <si>
    <t xml:space="preserve">100253</t>
  </si>
  <si>
    <t xml:space="preserve">98042</t>
  </si>
  <si>
    <t xml:space="preserve">98256</t>
  </si>
  <si>
    <t xml:space="preserve">P-12XLm</t>
  </si>
  <si>
    <t xml:space="preserve">100265</t>
  </si>
  <si>
    <t xml:space="preserve">P-12XLn</t>
  </si>
  <si>
    <t xml:space="preserve">98255</t>
  </si>
  <si>
    <t xml:space="preserve">P-12XLn+</t>
  </si>
  <si>
    <t xml:space="preserve">100842</t>
  </si>
  <si>
    <t xml:space="preserve">PR300Z</t>
  </si>
  <si>
    <t xml:space="preserve">Solvent Wet</t>
  </si>
  <si>
    <t xml:space="preserve">100841</t>
  </si>
  <si>
    <t xml:space="preserve">100840</t>
  </si>
  <si>
    <t xml:space="preserve">100272</t>
  </si>
  <si>
    <t xml:space="preserve">Precio</t>
  </si>
  <si>
    <t xml:space="preserve">100271</t>
  </si>
  <si>
    <t xml:space="preserve">100270</t>
  </si>
  <si>
    <t xml:space="preserve">100269</t>
  </si>
  <si>
    <t xml:space="preserve">100268</t>
  </si>
  <si>
    <t xml:space="preserve">100267</t>
  </si>
  <si>
    <t xml:space="preserve">100266</t>
  </si>
  <si>
    <t xml:space="preserve">98045</t>
  </si>
  <si>
    <t xml:space="preserve">Precio Nano</t>
  </si>
  <si>
    <t xml:space="preserve">98841</t>
  </si>
  <si>
    <t xml:space="preserve">SCCM</t>
  </si>
  <si>
    <t xml:space="preserve">98435</t>
  </si>
  <si>
    <t xml:space="preserve">SCCM Chamber</t>
  </si>
  <si>
    <t xml:space="preserve">99047</t>
  </si>
  <si>
    <t xml:space="preserve">SCCM-SHIN</t>
  </si>
  <si>
    <t xml:space="preserve">98842</t>
  </si>
  <si>
    <t xml:space="preserve">96927</t>
  </si>
  <si>
    <t xml:space="preserve">Tactras RLSA Poly</t>
  </si>
  <si>
    <t xml:space="preserve">97777</t>
  </si>
  <si>
    <t xml:space="preserve">Tactras Vigus</t>
  </si>
  <si>
    <t xml:space="preserve">96928</t>
  </si>
  <si>
    <t xml:space="preserve">96931</t>
  </si>
  <si>
    <t xml:space="preserve">Tactras Vigus RK3 - Chamber Only</t>
  </si>
  <si>
    <t xml:space="preserve">96929</t>
  </si>
  <si>
    <t xml:space="preserve">98316</t>
  </si>
  <si>
    <t xml:space="preserve">TE8500</t>
  </si>
  <si>
    <t xml:space="preserve">100017</t>
  </si>
  <si>
    <t xml:space="preserve">TE8500ATC</t>
  </si>
  <si>
    <t xml:space="preserve">100016</t>
  </si>
  <si>
    <t xml:space="preserve">100281</t>
  </si>
  <si>
    <t xml:space="preserve">TELFORMULA ALD High-K</t>
  </si>
  <si>
    <t xml:space="preserve">100280</t>
  </si>
  <si>
    <t xml:space="preserve">100279</t>
  </si>
  <si>
    <t xml:space="preserve">100278</t>
  </si>
  <si>
    <t xml:space="preserve">100277</t>
  </si>
  <si>
    <t xml:space="preserve">100276</t>
  </si>
  <si>
    <t xml:space="preserve">100275</t>
  </si>
  <si>
    <t xml:space="preserve">100274</t>
  </si>
  <si>
    <t xml:space="preserve">100273</t>
  </si>
  <si>
    <t xml:space="preserve">96940</t>
  </si>
  <si>
    <t xml:space="preserve">96939</t>
  </si>
  <si>
    <t xml:space="preserve">96937</t>
  </si>
  <si>
    <t xml:space="preserve">96936</t>
  </si>
  <si>
    <t xml:space="preserve">100284</t>
  </si>
  <si>
    <t xml:space="preserve">TELFORMULA Anneal</t>
  </si>
  <si>
    <t xml:space="preserve">100283</t>
  </si>
  <si>
    <t xml:space="preserve">100282</t>
  </si>
  <si>
    <t xml:space="preserve">100302</t>
  </si>
  <si>
    <t xml:space="preserve">TELFORMULA Nitride</t>
  </si>
  <si>
    <t xml:space="preserve">100301</t>
  </si>
  <si>
    <t xml:space="preserve">100300</t>
  </si>
  <si>
    <t xml:space="preserve">100299</t>
  </si>
  <si>
    <t xml:space="preserve">100298</t>
  </si>
  <si>
    <t xml:space="preserve">100297</t>
  </si>
  <si>
    <t xml:space="preserve">100296</t>
  </si>
  <si>
    <t xml:space="preserve">100295</t>
  </si>
  <si>
    <t xml:space="preserve">100294</t>
  </si>
  <si>
    <t xml:space="preserve">100293</t>
  </si>
  <si>
    <t xml:space="preserve">100292</t>
  </si>
  <si>
    <t xml:space="preserve">100291</t>
  </si>
  <si>
    <t xml:space="preserve">100290</t>
  </si>
  <si>
    <t xml:space="preserve">100289</t>
  </si>
  <si>
    <t xml:space="preserve">100288</t>
  </si>
  <si>
    <t xml:space="preserve">100287</t>
  </si>
  <si>
    <t xml:space="preserve">100286</t>
  </si>
  <si>
    <t xml:space="preserve">100285</t>
  </si>
  <si>
    <t xml:space="preserve">96948</t>
  </si>
  <si>
    <t xml:space="preserve">96942</t>
  </si>
  <si>
    <t xml:space="preserve">100303</t>
  </si>
  <si>
    <t xml:space="preserve">TELINDY Oxide</t>
  </si>
  <si>
    <t xml:space="preserve">97796</t>
  </si>
  <si>
    <t xml:space="preserve">100304</t>
  </si>
  <si>
    <t xml:space="preserve">TELINDY Plus ALD High-K</t>
  </si>
  <si>
    <t xml:space="preserve">Vertical Furnace - Other</t>
  </si>
  <si>
    <t xml:space="preserve">97801</t>
  </si>
  <si>
    <t xml:space="preserve">96954</t>
  </si>
  <si>
    <t xml:space="preserve">96953</t>
  </si>
  <si>
    <t xml:space="preserve">96950</t>
  </si>
  <si>
    <t xml:space="preserve">96955</t>
  </si>
  <si>
    <t xml:space="preserve">TELINDY Plus IRAD Oxide</t>
  </si>
  <si>
    <t xml:space="preserve">100307</t>
  </si>
  <si>
    <t xml:space="preserve">Telius 305 DRM</t>
  </si>
  <si>
    <t xml:space="preserve">100306</t>
  </si>
  <si>
    <t xml:space="preserve">100305</t>
  </si>
  <si>
    <t xml:space="preserve">100308</t>
  </si>
  <si>
    <t xml:space="preserve">Telius 305 SCCM</t>
  </si>
  <si>
    <t xml:space="preserve">98184</t>
  </si>
  <si>
    <t xml:space="preserve">Telius SCCM Jin</t>
  </si>
  <si>
    <t xml:space="preserve">Oxide etcher</t>
  </si>
  <si>
    <t xml:space="preserve">98188</t>
  </si>
  <si>
    <t xml:space="preserve">Telius SCCM Shin</t>
  </si>
  <si>
    <t xml:space="preserve">98187</t>
  </si>
  <si>
    <t xml:space="preserve">98186</t>
  </si>
  <si>
    <t xml:space="preserve">98185</t>
  </si>
  <si>
    <t xml:space="preserve">97814</t>
  </si>
  <si>
    <t xml:space="preserve">Telius SP 305 DRM</t>
  </si>
  <si>
    <t xml:space="preserve">100309</t>
  </si>
  <si>
    <t xml:space="preserve">Telius SP-305 SCCM</t>
  </si>
  <si>
    <t xml:space="preserve">97817</t>
  </si>
  <si>
    <t xml:space="preserve">98436</t>
  </si>
  <si>
    <t xml:space="preserve">Trias</t>
  </si>
  <si>
    <t xml:space="preserve">4 chamber system, 1 WTM, FE Assembly, 1 PC, 1 AC Rack</t>
  </si>
  <si>
    <t xml:space="preserve">98307</t>
  </si>
  <si>
    <t xml:space="preserve">TRIAS</t>
  </si>
  <si>
    <t xml:space="preserve">98194</t>
  </si>
  <si>
    <t xml:space="preserve">CVD Ti</t>
  </si>
  <si>
    <t xml:space="preserve">98193</t>
  </si>
  <si>
    <t xml:space="preserve">98192</t>
  </si>
  <si>
    <t xml:space="preserve">98191</t>
  </si>
  <si>
    <t xml:space="preserve">98190</t>
  </si>
  <si>
    <t xml:space="preserve">98843</t>
  </si>
  <si>
    <t xml:space="preserve">97038</t>
  </si>
  <si>
    <t xml:space="preserve">PECVD Oxynitride</t>
  </si>
  <si>
    <t xml:space="preserve">98189</t>
  </si>
  <si>
    <t xml:space="preserve">UV Cure</t>
  </si>
  <si>
    <t xml:space="preserve">100313</t>
  </si>
  <si>
    <t xml:space="preserve">Trias Chamber</t>
  </si>
  <si>
    <t xml:space="preserve">100312</t>
  </si>
  <si>
    <t xml:space="preserve">100311</t>
  </si>
  <si>
    <t xml:space="preserve">100310</t>
  </si>
  <si>
    <t xml:space="preserve">100315</t>
  </si>
  <si>
    <t xml:space="preserve">Trias Ti/TiN</t>
  </si>
  <si>
    <t xml:space="preserve">Metal CVD (Chemical Vapor Deposition)</t>
  </si>
  <si>
    <t xml:space="preserve">100314</t>
  </si>
  <si>
    <t xml:space="preserve">97824</t>
  </si>
  <si>
    <t xml:space="preserve">97822</t>
  </si>
  <si>
    <t xml:space="preserve">97821</t>
  </si>
  <si>
    <t xml:space="preserve">96960</t>
  </si>
  <si>
    <t xml:space="preserve">100318</t>
  </si>
  <si>
    <t xml:space="preserve">Trias Ti/TiN Chamber</t>
  </si>
  <si>
    <t xml:space="preserve">100317</t>
  </si>
  <si>
    <t xml:space="preserve">100316</t>
  </si>
  <si>
    <t xml:space="preserve">100320</t>
  </si>
  <si>
    <t xml:space="preserve">Trias W</t>
  </si>
  <si>
    <t xml:space="preserve">MOCVD</t>
  </si>
  <si>
    <t xml:space="preserve">100319</t>
  </si>
  <si>
    <t xml:space="preserve">97826</t>
  </si>
  <si>
    <t xml:space="preserve">Trias W - Chamber Only</t>
  </si>
  <si>
    <t xml:space="preserve">99048</t>
  </si>
  <si>
    <t xml:space="preserve">TRIAS-EX2</t>
  </si>
  <si>
    <t xml:space="preserve">98844</t>
  </si>
  <si>
    <t xml:space="preserve">100322</t>
  </si>
  <si>
    <t xml:space="preserve">Triase+ SPA</t>
  </si>
  <si>
    <t xml:space="preserve">100321</t>
  </si>
  <si>
    <t xml:space="preserve">100323</t>
  </si>
  <si>
    <t xml:space="preserve">Triase+ Ti/TiN</t>
  </si>
  <si>
    <t xml:space="preserve">100018</t>
  </si>
  <si>
    <t xml:space="preserve">UNITY2e-855DD</t>
  </si>
  <si>
    <t xml:space="preserve">100019</t>
  </si>
  <si>
    <t xml:space="preserve">UNITY2e-855SS</t>
  </si>
  <si>
    <t xml:space="preserve">98198</t>
  </si>
  <si>
    <t xml:space="preserve">Unity2e 85ADI</t>
  </si>
  <si>
    <t xml:space="preserve">98199</t>
  </si>
  <si>
    <t xml:space="preserve">Unity2e 85DI</t>
  </si>
  <si>
    <t xml:space="preserve">98197</t>
  </si>
  <si>
    <t xml:space="preserve">Unity2e 855SS</t>
  </si>
  <si>
    <t xml:space="preserve">98196</t>
  </si>
  <si>
    <t xml:space="preserve">98195</t>
  </si>
  <si>
    <t xml:space="preserve">99901</t>
  </si>
  <si>
    <t xml:space="preserve">Unity 2E 855 DD</t>
  </si>
  <si>
    <t xml:space="preserve">Dry etcher with 2 X DRM CHAMBERS</t>
  </si>
  <si>
    <t xml:space="preserve">98043</t>
  </si>
  <si>
    <t xml:space="preserve">Unity 2e 855DD (DRM Chamber)</t>
  </si>
  <si>
    <t xml:space="preserve">DRM Chamber</t>
  </si>
  <si>
    <t xml:space="preserve">98044</t>
  </si>
  <si>
    <t xml:space="preserve">Unity 2e 855DP (Poly Chamber)</t>
  </si>
  <si>
    <t xml:space="preserve">100324</t>
  </si>
  <si>
    <t xml:space="preserve">UW200Z</t>
  </si>
  <si>
    <t xml:space="preserve">96968</t>
  </si>
  <si>
    <t xml:space="preserve">Wet Cleaning System</t>
  </si>
  <si>
    <t xml:space="preserve">96963</t>
  </si>
  <si>
    <t xml:space="preserve">UW300Z</t>
  </si>
  <si>
    <t xml:space="preserve">98608</t>
  </si>
  <si>
    <t xml:space="preserve">POST GATE CLEANER WET STATION</t>
  </si>
  <si>
    <t xml:space="preserve">98014</t>
  </si>
  <si>
    <t xml:space="preserve">98845</t>
  </si>
  <si>
    <t xml:space="preserve">VESTA-NV</t>
  </si>
  <si>
    <t xml:space="preserve">98846</t>
  </si>
  <si>
    <t xml:space="preserve">VIGUS MK</t>
  </si>
  <si>
    <t xml:space="preserve">98847</t>
  </si>
  <si>
    <t xml:space="preserve">VIGUS RK2</t>
  </si>
  <si>
    <t xml:space="preserve">99049</t>
  </si>
  <si>
    <t xml:space="preserve">VIGUS_V0</t>
  </si>
  <si>
    <t xml:space="preserve">98257</t>
  </si>
  <si>
    <t xml:space="preserve">WDF </t>
  </si>
  <si>
    <t xml:space="preserve">Prober, 6 Inch Frame</t>
  </si>
  <si>
    <t xml:space="preserve">150 MM</t>
  </si>
  <si>
    <t xml:space="preserve">99432</t>
  </si>
  <si>
    <t xml:space="preserve">Tempress</t>
  </si>
  <si>
    <t xml:space="preserve">12467</t>
  </si>
  <si>
    <t xml:space="preserve">Series 401 Dicing Wheel</t>
  </si>
  <si>
    <t xml:space="preserve">190</t>
  </si>
  <si>
    <t xml:space="preserve">100325</t>
  </si>
  <si>
    <t xml:space="preserve">Temptronic</t>
  </si>
  <si>
    <t xml:space="preserve">ATS-545-T Thermostream</t>
  </si>
  <si>
    <t xml:space="preserve">Temperature Forcing Unit</t>
  </si>
  <si>
    <t xml:space="preserve">98234</t>
  </si>
  <si>
    <t xml:space="preserve">TPO3000</t>
  </si>
  <si>
    <t xml:space="preserve">98233</t>
  </si>
  <si>
    <t xml:space="preserve">98527</t>
  </si>
  <si>
    <t xml:space="preserve">A585</t>
  </si>
  <si>
    <t xml:space="preserve">Automated test system, 184 pin, 20MHz </t>
  </si>
  <si>
    <t xml:space="preserve">98509</t>
  </si>
  <si>
    <t xml:space="preserve">99364</t>
  </si>
  <si>
    <t xml:space="preserve">Catalyst</t>
  </si>
  <si>
    <t xml:space="preserve">Automated Test System</t>
  </si>
  <si>
    <t xml:space="preserve">100685</t>
  </si>
  <si>
    <t xml:space="preserve">100721</t>
  </si>
  <si>
    <t xml:space="preserve">Mixed Signal Tester</t>
  </si>
  <si>
    <t xml:space="preserve">100863</t>
  </si>
  <si>
    <t xml:space="preserve">Eagle ETS-364B</t>
  </si>
  <si>
    <t xml:space="preserve">98046</t>
  </si>
  <si>
    <t xml:space="preserve">TERADYNE	</t>
  </si>
  <si>
    <t xml:space="preserve">IP750EX</t>
  </si>
  <si>
    <t xml:space="preserve">CIS Tester</t>
  </si>
  <si>
    <t xml:space="preserve">98223</t>
  </si>
  <si>
    <t xml:space="preserve">Teradyne </t>
  </si>
  <si>
    <t xml:space="preserve">J750 </t>
  </si>
  <si>
    <t xml:space="preserve">98222</t>
  </si>
  <si>
    <t xml:space="preserve">J750 (Parts)</t>
  </si>
  <si>
    <t xml:space="preserve">Test head from a Tester(512CH)</t>
  </si>
  <si>
    <t xml:space="preserve">98848</t>
  </si>
  <si>
    <t xml:space="preserve">TES</t>
  </si>
  <si>
    <t xml:space="preserve">CHALLENGER-HTPLUS</t>
  </si>
  <si>
    <t xml:space="preserve">99874</t>
  </si>
  <si>
    <t xml:space="preserve">Thermawave</t>
  </si>
  <si>
    <t xml:space="preserve">Film Thickness</t>
  </si>
  <si>
    <t xml:space="preserve">98437</t>
  </si>
  <si>
    <t xml:space="preserve">OP 2600B</t>
  </si>
  <si>
    <t xml:space="preserve">98438</t>
  </si>
  <si>
    <t xml:space="preserve">OP 5340</t>
  </si>
  <si>
    <t xml:space="preserve">150/200/300 mm</t>
  </si>
  <si>
    <t xml:space="preserve">98439</t>
  </si>
  <si>
    <t xml:space="preserve">TP 630</t>
  </si>
  <si>
    <t xml:space="preserve">98935</t>
  </si>
  <si>
    <t xml:space="preserve">Ion Implant Measurement System</t>
  </si>
  <si>
    <t xml:space="preserve">99813</t>
  </si>
  <si>
    <t xml:space="preserve">Thermco</t>
  </si>
  <si>
    <t xml:space="preserve">Sirius Pro 200</t>
  </si>
  <si>
    <t xml:space="preserve">2 tube LPCVD horizontal furnace system</t>
  </si>
  <si>
    <t xml:space="preserve">200 mm and 150 mm</t>
  </si>
  <si>
    <t xml:space="preserve">98905</t>
  </si>
  <si>
    <t xml:space="preserve">THERMO-FISHER</t>
  </si>
  <si>
    <t xml:space="preserve">ECO3000</t>
  </si>
  <si>
    <t xml:space="preserve">Spectrometer FT-IR</t>
  </si>
  <si>
    <t xml:space="preserve">98047</t>
  </si>
  <si>
    <t xml:space="preserve">THERMONICS</t>
  </si>
  <si>
    <t xml:space="preserve">T-2500SEA</t>
  </si>
  <si>
    <t xml:space="preserve">100057</t>
  </si>
  <si>
    <t xml:space="preserve">Thin Film Solar Testing Equipment</t>
  </si>
  <si>
    <t xml:space="preserve">Various</t>
  </si>
  <si>
    <t xml:space="preserve">Thin Film Solar Equipment</t>
  </si>
  <si>
    <t xml:space="preserve">100753</t>
  </si>
  <si>
    <t xml:space="preserve">Tosei</t>
  </si>
  <si>
    <t xml:space="preserve">W-GM-4200</t>
  </si>
  <si>
    <t xml:space="preserve">100754</t>
  </si>
  <si>
    <t xml:space="preserve">W-GM-4200B</t>
  </si>
  <si>
    <t xml:space="preserve">100755</t>
  </si>
  <si>
    <t xml:space="preserve">W-GM-4250</t>
  </si>
  <si>
    <t xml:space="preserve">99365</t>
  </si>
  <si>
    <t xml:space="preserve">TOSOK</t>
  </si>
  <si>
    <t xml:space="preserve">3310</t>
  </si>
  <si>
    <t xml:space="preserve">99367</t>
  </si>
  <si>
    <t xml:space="preserve">DBD3310</t>
  </si>
  <si>
    <t xml:space="preserve">99368</t>
  </si>
  <si>
    <t xml:space="preserve">DBD3310 3280</t>
  </si>
  <si>
    <t xml:space="preserve">99372</t>
  </si>
  <si>
    <t xml:space="preserve">DBD3550R</t>
  </si>
  <si>
    <t xml:space="preserve">99371</t>
  </si>
  <si>
    <t xml:space="preserve">99370</t>
  </si>
  <si>
    <t xml:space="preserve">99369</t>
  </si>
  <si>
    <t xml:space="preserve">99366</t>
  </si>
  <si>
    <t xml:space="preserve">DBD 3280/3310</t>
  </si>
  <si>
    <t xml:space="preserve">99433</t>
  </si>
  <si>
    <t xml:space="preserve">Towa</t>
  </si>
  <si>
    <t xml:space="preserve">CC-S</t>
  </si>
  <si>
    <t xml:space="preserve">Injection Molding Press</t>
  </si>
  <si>
    <t xml:space="preserve">97887</t>
  </si>
  <si>
    <t xml:space="preserve">TOYO</t>
  </si>
  <si>
    <t xml:space="preserve">SE-4000</t>
  </si>
  <si>
    <t xml:space="preserve">Roughness Measurement</t>
  </si>
  <si>
    <t xml:space="preserve">100332</t>
  </si>
  <si>
    <t xml:space="preserve">Toyota</t>
  </si>
  <si>
    <t xml:space="preserve">T100L</t>
  </si>
  <si>
    <t xml:space="preserve">100331</t>
  </si>
  <si>
    <t xml:space="preserve">100330</t>
  </si>
  <si>
    <t xml:space="preserve">100329</t>
  </si>
  <si>
    <t xml:space="preserve">100328</t>
  </si>
  <si>
    <t xml:space="preserve">100327</t>
  </si>
  <si>
    <t xml:space="preserve">T-1000</t>
  </si>
  <si>
    <t xml:space="preserve">100326</t>
  </si>
  <si>
    <t xml:space="preserve">100027</t>
  </si>
  <si>
    <t xml:space="preserve">TP Solar</t>
  </si>
  <si>
    <t xml:space="preserve">D225 IR</t>
  </si>
  <si>
    <t xml:space="preserve">Reflow furnace for solar wafer dope / anneal</t>
  </si>
  <si>
    <t xml:space="preserve">98015</t>
  </si>
  <si>
    <t xml:space="preserve">Trikon</t>
  </si>
  <si>
    <t xml:space="preserve">Sigma 204</t>
  </si>
  <si>
    <t xml:space="preserve">PVD TOOL / Metal Deposition</t>
  </si>
  <si>
    <t xml:space="preserve">98017</t>
  </si>
  <si>
    <t xml:space="preserve">SIGMA FXP</t>
  </si>
  <si>
    <t xml:space="preserve">98016</t>
  </si>
  <si>
    <t xml:space="preserve">97079</t>
  </si>
  <si>
    <t xml:space="preserve">Trumpf</t>
  </si>
  <si>
    <t xml:space="preserve">TruMicro 7240</t>
  </si>
  <si>
    <t xml:space="preserve">Laser source</t>
  </si>
  <si>
    <t xml:space="preserve">97981</t>
  </si>
  <si>
    <t xml:space="preserve">TSK</t>
  </si>
  <si>
    <t xml:space="preserve">PG300RM</t>
  </si>
  <si>
    <t xml:space="preserve">BACK GRINDER POLISHER</t>
  </si>
  <si>
    <t xml:space="preserve">97982</t>
  </si>
  <si>
    <t xml:space="preserve">UF300A</t>
  </si>
  <si>
    <t xml:space="preserve">98369</t>
  </si>
  <si>
    <t xml:space="preserve">ULTECH</t>
  </si>
  <si>
    <t xml:space="preserve">LPCVD ULTECH#04</t>
  </si>
  <si>
    <t xml:space="preserve">97901</t>
  </si>
  <si>
    <t xml:space="preserve">Ultra T Equipment</t>
  </si>
  <si>
    <t xml:space="preserve">SCS-125</t>
  </si>
  <si>
    <t xml:space="preserve">Sapphire Wafer Cleaning unit</t>
  </si>
  <si>
    <t xml:space="preserve">98372</t>
  </si>
  <si>
    <t xml:space="preserve">ULTRACISION</t>
  </si>
  <si>
    <t xml:space="preserve">880E</t>
  </si>
  <si>
    <t xml:space="preserve">Manual Wafer Prober, for up to 200mm Wafers</t>
  </si>
  <si>
    <t xml:space="preserve">98371</t>
  </si>
  <si>
    <t xml:space="preserve">98370</t>
  </si>
  <si>
    <t xml:space="preserve">98440</t>
  </si>
  <si>
    <t xml:space="preserve">Ultratech</t>
  </si>
  <si>
    <t xml:space="preserve">1500</t>
  </si>
  <si>
    <t xml:space="preserve">Wafer Stepper</t>
  </si>
  <si>
    <t xml:space="preserve">100697</t>
  </si>
  <si>
    <t xml:space="preserve">ULTRATECH</t>
  </si>
  <si>
    <t xml:space="preserve">LSA-201LP</t>
  </si>
  <si>
    <t xml:space="preserve">Laser Spike Anneal System</t>
  </si>
  <si>
    <t xml:space="preserve">97983</t>
  </si>
  <si>
    <t xml:space="preserve">Saturn Spectrum 3e</t>
  </si>
  <si>
    <t xml:space="preserve">STEPPER</t>
  </si>
  <si>
    <t xml:space="preserve">100710</t>
  </si>
  <si>
    <t xml:space="preserve">Ultron Systems</t>
  </si>
  <si>
    <t xml:space="preserve">UH 110</t>
  </si>
  <si>
    <t xml:space="preserve">Backgrinding Film Remover</t>
  </si>
  <si>
    <t xml:space="preserve">100020</t>
  </si>
  <si>
    <t xml:space="preserve">Ulvac</t>
  </si>
  <si>
    <t xml:space="preserve">ei-7</t>
  </si>
  <si>
    <t xml:space="preserve">Evaporator</t>
  </si>
  <si>
    <t xml:space="preserve">98203</t>
  </si>
  <si>
    <t xml:space="preserve">Entron EX W300</t>
  </si>
  <si>
    <t xml:space="preserve">98202</t>
  </si>
  <si>
    <t xml:space="preserve">98201</t>
  </si>
  <si>
    <t xml:space="preserve">98200</t>
  </si>
  <si>
    <t xml:space="preserve">100334</t>
  </si>
  <si>
    <t xml:space="preserve">Entron-EX</t>
  </si>
  <si>
    <t xml:space="preserve">100333</t>
  </si>
  <si>
    <t xml:space="preserve">100698</t>
  </si>
  <si>
    <t xml:space="preserve">ULVAC</t>
  </si>
  <si>
    <t xml:space="preserve">NE-5700</t>
  </si>
  <si>
    <t xml:space="preserve">99052</t>
  </si>
  <si>
    <t xml:space="preserve">RISE300</t>
  </si>
  <si>
    <t xml:space="preserve">99051</t>
  </si>
  <si>
    <t xml:space="preserve">99050</t>
  </si>
  <si>
    <t xml:space="preserve">98018</t>
  </si>
  <si>
    <t xml:space="preserve">SME-200J</t>
  </si>
  <si>
    <t xml:space="preserve">PVD Piezo</t>
  </si>
  <si>
    <t xml:space="preserve">98049</t>
  </si>
  <si>
    <t xml:space="preserve">UNAXIS</t>
  </si>
  <si>
    <t xml:space="preserve">SLR-720</t>
  </si>
  <si>
    <t xml:space="preserve">RIE</t>
  </si>
  <si>
    <t xml:space="preserve">98048</t>
  </si>
  <si>
    <t xml:space="preserve">100686</t>
  </si>
  <si>
    <t xml:space="preserve">UNI-HITE</t>
  </si>
  <si>
    <t xml:space="preserve">XVA160</t>
  </si>
  <si>
    <t xml:space="preserve">X-ray 3D-CT System</t>
  </si>
  <si>
    <t xml:space="preserve">98532</t>
  </si>
  <si>
    <t xml:space="preserve">Unitek</t>
  </si>
  <si>
    <t xml:space="preserve">Micropull III</t>
  </si>
  <si>
    <t xml:space="preserve">Bond Pull</t>
  </si>
  <si>
    <t xml:space="preserve">98793</t>
  </si>
  <si>
    <t xml:space="preserve">Ushio </t>
  </si>
  <si>
    <t xml:space="preserve">UV Curing System</t>
  </si>
  <si>
    <t xml:space="preserve">99373</t>
  </si>
  <si>
    <t xml:space="preserve">VacuMit</t>
  </si>
  <si>
    <t xml:space="preserve">EST60</t>
  </si>
  <si>
    <t xml:space="preserve">Vacuum packing machine</t>
  </si>
  <si>
    <t xml:space="preserve">99404</t>
  </si>
  <si>
    <t xml:space="preserve">350D (Spares)</t>
  </si>
  <si>
    <t xml:space="preserve">Implanter (Spare Parts)</t>
  </si>
  <si>
    <t xml:space="preserve">99875</t>
  </si>
  <si>
    <t xml:space="preserve">3290STQ</t>
  </si>
  <si>
    <t xml:space="preserve">Sputter</t>
  </si>
  <si>
    <t xml:space="preserve">99960</t>
  </si>
  <si>
    <t xml:space="preserve">E500HP</t>
  </si>
  <si>
    <t xml:space="preserve">100335</t>
  </si>
  <si>
    <t xml:space="preserve">VIISta 3000XP</t>
  </si>
  <si>
    <t xml:space="preserve">97838</t>
  </si>
  <si>
    <t xml:space="preserve">VIISta PLAD</t>
  </si>
  <si>
    <t xml:space="preserve">High Dose Implant</t>
  </si>
  <si>
    <t xml:space="preserve">99275</t>
  </si>
  <si>
    <t xml:space="preserve">Varian </t>
  </si>
  <si>
    <t xml:space="preserve">E220</t>
  </si>
  <si>
    <t xml:space="preserve">Ion Implanter</t>
  </si>
  <si>
    <t xml:space="preserve">98441</t>
  </si>
  <si>
    <t xml:space="preserve">Veeco</t>
  </si>
  <si>
    <t xml:space="preserve">CVC CX6</t>
  </si>
  <si>
    <t xml:space="preserve">Ion Beam Deposition System</t>
  </si>
  <si>
    <t xml:space="preserve">100756</t>
  </si>
  <si>
    <t xml:space="preserve">D3100V</t>
  </si>
  <si>
    <t xml:space="preserve">AFM</t>
  </si>
  <si>
    <t xml:space="preserve">100336</t>
  </si>
  <si>
    <t xml:space="preserve">Dimension Vx 340</t>
  </si>
  <si>
    <t xml:space="preserve">Atomic Force Profiler (AFP)</t>
  </si>
  <si>
    <t xml:space="preserve">97840</t>
  </si>
  <si>
    <t xml:space="preserve">Dimension X1D</t>
  </si>
  <si>
    <t xml:space="preserve">Atomic Force Microscope (AFM)</t>
  </si>
  <si>
    <t xml:space="preserve">97839</t>
  </si>
  <si>
    <t xml:space="preserve">98373</t>
  </si>
  <si>
    <t xml:space="preserve">VEECO</t>
  </si>
  <si>
    <t xml:space="preserve">V220SI</t>
  </si>
  <si>
    <t xml:space="preserve">98863</t>
  </si>
  <si>
    <t xml:space="preserve">VCE IBE 350</t>
  </si>
  <si>
    <t xml:space="preserve">Ion Beam Etch System</t>
  </si>
  <si>
    <t xml:space="preserve">98204</t>
  </si>
  <si>
    <t xml:space="preserve">Verigy</t>
  </si>
  <si>
    <t xml:space="preserve">93000 C200E</t>
  </si>
  <si>
    <t xml:space="preserve">99390</t>
  </si>
  <si>
    <t xml:space="preserve">VERIGY</t>
  </si>
  <si>
    <t xml:space="preserve">V4000</t>
  </si>
  <si>
    <t xml:space="preserve">100340</t>
  </si>
  <si>
    <t xml:space="preserve">V4400</t>
  </si>
  <si>
    <t xml:space="preserve">100339</t>
  </si>
  <si>
    <t xml:space="preserve">100338</t>
  </si>
  <si>
    <t xml:space="preserve">100337</t>
  </si>
  <si>
    <t xml:space="preserve">99391</t>
  </si>
  <si>
    <t xml:space="preserve">V6000</t>
  </si>
  <si>
    <t xml:space="preserve">99951</t>
  </si>
  <si>
    <t xml:space="preserve">V93000 C200E</t>
  </si>
  <si>
    <t xml:space="preserve">97984</t>
  </si>
  <si>
    <t xml:space="preserve">Verteq</t>
  </si>
  <si>
    <t xml:space="preserve">Super Clean 1800</t>
  </si>
  <si>
    <t xml:space="preserve">SPIN DRYER</t>
  </si>
  <si>
    <t xml:space="preserve">97902</t>
  </si>
  <si>
    <t xml:space="preserve">Vertex</t>
  </si>
  <si>
    <t xml:space="preserve">2000</t>
  </si>
  <si>
    <t xml:space="preserve">Centrifuge for wafers drying</t>
  </si>
  <si>
    <t xml:space="preserve">97985</t>
  </si>
  <si>
    <t xml:space="preserve">Vision</t>
  </si>
  <si>
    <t xml:space="preserve">VSP-88D</t>
  </si>
  <si>
    <t xml:space="preserve">100051</t>
  </si>
  <si>
    <t xml:space="preserve">VISION SEMICON</t>
  </si>
  <si>
    <t xml:space="preserve">VSP88H</t>
  </si>
  <si>
    <t xml:space="preserve">100050</t>
  </si>
  <si>
    <t xml:space="preserve">98050</t>
  </si>
  <si>
    <t xml:space="preserve">Vision Semicon</t>
  </si>
  <si>
    <t xml:space="preserve">VSP-88A(H)</t>
  </si>
  <si>
    <t xml:space="preserve">100719</t>
  </si>
  <si>
    <t xml:space="preserve">VSP-88D-T</t>
  </si>
  <si>
    <t xml:space="preserve">98052</t>
  </si>
  <si>
    <t xml:space="preserve">VSP-88H</t>
  </si>
  <si>
    <t xml:space="preserve">98051</t>
  </si>
  <si>
    <t xml:space="preserve">100720</t>
  </si>
  <si>
    <t xml:space="preserve">97986</t>
  </si>
  <si>
    <t xml:space="preserve">VSPO-4CM</t>
  </si>
  <si>
    <t xml:space="preserve">4 CHAMBER OVEN (PC TYPE)</t>
  </si>
  <si>
    <t xml:space="preserve">97987</t>
  </si>
  <si>
    <t xml:space="preserve">Vitrox</t>
  </si>
  <si>
    <t xml:space="preserve">TR1000S</t>
  </si>
  <si>
    <t xml:space="preserve">100711</t>
  </si>
  <si>
    <t xml:space="preserve">Voetsch</t>
  </si>
  <si>
    <t xml:space="preserve">VT 4002</t>
  </si>
  <si>
    <t xml:space="preserve">Temperature Test Chamber</t>
  </si>
  <si>
    <t xml:space="preserve">97988</t>
  </si>
  <si>
    <t xml:space="preserve">WANGSAN</t>
  </si>
  <si>
    <t xml:space="preserve">WS-CO-500-4</t>
  </si>
  <si>
    <t xml:space="preserve">4 CHAMBER OVEN</t>
  </si>
  <si>
    <t xml:space="preserve">97989</t>
  </si>
  <si>
    <t xml:space="preserve">WS-CO-600-1</t>
  </si>
  <si>
    <t xml:space="preserve">100712</t>
  </si>
  <si>
    <t xml:space="preserve">TS-130</t>
  </si>
  <si>
    <t xml:space="preserve">Temperature Shock Test Chamber</t>
  </si>
  <si>
    <t xml:space="preserve">99374</t>
  </si>
  <si>
    <t xml:space="preserve">Wentworth Labs</t>
  </si>
  <si>
    <t xml:space="preserve">0-023-0021</t>
  </si>
  <si>
    <t xml:space="preserve">6" PROBE STATION/ WAFER PROBER MITUTOYO MICROSCOPE</t>
  </si>
  <si>
    <t xml:space="preserve">99375</t>
  </si>
  <si>
    <t xml:space="preserve">MP900</t>
  </si>
  <si>
    <t xml:space="preserve">Die Probe Station</t>
  </si>
  <si>
    <t xml:space="preserve">98849</t>
  </si>
  <si>
    <t xml:space="preserve">WONIK IPS</t>
  </si>
  <si>
    <t xml:space="preserve">AKRA BM</t>
  </si>
  <si>
    <t xml:space="preserve">97107</t>
  </si>
  <si>
    <t xml:space="preserve">XYZTEC</t>
  </si>
  <si>
    <t xml:space="preserve">Condor 250-3</t>
  </si>
  <si>
    <t xml:space="preserve">Material testing Machine for Example bending Test</t>
  </si>
  <si>
    <t xml:space="preserve">99376</t>
  </si>
  <si>
    <t xml:space="preserve">Yamato </t>
  </si>
  <si>
    <t xml:space="preserve">NDB-4 </t>
  </si>
  <si>
    <t xml:space="preserve">CO2 Bubbler</t>
  </si>
  <si>
    <t xml:space="preserve">98498</t>
  </si>
  <si>
    <t xml:space="preserve">Yaskawa</t>
  </si>
  <si>
    <t xml:space="preserve">XU RCM9206</t>
  </si>
  <si>
    <t xml:space="preserve">atmospheric wafer robot( KLA 2835i)</t>
  </si>
  <si>
    <t xml:space="preserve">98499</t>
  </si>
  <si>
    <t xml:space="preserve">XU RSM53E0</t>
  </si>
  <si>
    <t xml:space="preserve">atmospheric wafer robot( Ebara Frex 300 CMP)</t>
  </si>
  <si>
    <t xml:space="preserve">97990</t>
  </si>
  <si>
    <t xml:space="preserve">YASUNAGA</t>
  </si>
  <si>
    <t xml:space="preserve">TW-320-1 (TR included)</t>
  </si>
  <si>
    <t xml:space="preserve">98442</t>
  </si>
  <si>
    <t xml:space="preserve">YES</t>
  </si>
  <si>
    <t xml:space="preserve">5 Vapor Prime</t>
  </si>
  <si>
    <t xml:space="preserve">98019</t>
  </si>
  <si>
    <t xml:space="preserve">HMDS BAKE OVEN</t>
  </si>
  <si>
    <t xml:space="preserve">100864</t>
  </si>
  <si>
    <t xml:space="preserve">Yes</t>
  </si>
  <si>
    <t xml:space="preserve">PB-6-8P</t>
  </si>
  <si>
    <t xml:space="preserve">98217</t>
  </si>
  <si>
    <t xml:space="preserve">YesTech</t>
  </si>
  <si>
    <t xml:space="preserve">YTV-B3 AOI</t>
  </si>
  <si>
    <t xml:space="preserve">Automated Optical Inspection System</t>
  </si>
  <si>
    <t xml:space="preserve">100687</t>
  </si>
  <si>
    <t xml:space="preserve">Yokogawa</t>
  </si>
  <si>
    <t xml:space="preserve">AL6050</t>
  </si>
  <si>
    <t xml:space="preserve">100688</t>
  </si>
  <si>
    <t xml:space="preserve">AL6050S</t>
  </si>
  <si>
    <t xml:space="preserve">100689</t>
  </si>
  <si>
    <t xml:space="preserve">AL6090</t>
  </si>
  <si>
    <t xml:space="preserve">100690</t>
  </si>
  <si>
    <t xml:space="preserve">AL6095</t>
  </si>
  <si>
    <t xml:space="preserve">100691</t>
  </si>
  <si>
    <t xml:space="preserve">AL9737</t>
  </si>
  <si>
    <t xml:space="preserve">100692</t>
  </si>
  <si>
    <t xml:space="preserve">ST6730A</t>
  </si>
  <si>
    <t xml:space="preserve">97991</t>
  </si>
  <si>
    <t xml:space="preserve">YOKOGAWA</t>
  </si>
  <si>
    <t xml:space="preserve">TS670</t>
  </si>
  <si>
    <t xml:space="preserve">100693</t>
  </si>
  <si>
    <t xml:space="preserve">TS1000</t>
  </si>
  <si>
    <t xml:space="preserve">IC Tester</t>
  </si>
  <si>
    <t xml:space="preserve">97992</t>
  </si>
  <si>
    <t xml:space="preserve">TS6700</t>
  </si>
  <si>
    <t xml:space="preserve">97108</t>
  </si>
  <si>
    <t xml:space="preserve">Zeiss</t>
  </si>
  <si>
    <t xml:space="preserve">Axiotech 100 HD</t>
  </si>
  <si>
    <t xml:space="preserve">97610</t>
  </si>
  <si>
    <t xml:space="preserve">Axiotron 300</t>
  </si>
  <si>
    <t xml:space="preserve">98211</t>
  </si>
  <si>
    <t xml:space="preserve">Ultra 55 </t>
  </si>
  <si>
    <t xml:space="preserve">97993</t>
  </si>
  <si>
    <t xml:space="preserve">ZEMOS</t>
  </si>
  <si>
    <t xml:space="preserve">CV-150D</t>
  </si>
  <si>
    <t xml:space="preserve">97994</t>
  </si>
  <si>
    <t xml:space="preserve">CV-230AD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</si>
</sst>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\.MM\.YYYY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8"/>
      <name val="Arial"/>
      <family val="0"/>
      <charset val="1"/>
    </font>
    <font>
      <sz val="8"/>
      <name val="Arial"/>
      <family val="0"/>
      <charset val="1"/>
    </font>
    <font>
      <sz val="8"/>
      <name val="Arial"/>
      <family val="0"/>
    </font>
    <font>
      <sz val="8"/>
      <name val="Noto Sans CJK SC"/>
      <family val="2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808080"/>
      </patternFill>
    </fill>
    <fill>
      <patternFill patternType="solid">
        <fgColor rgb="FFC0C0C0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/>
      <bottom style="dashed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709"/>
  <sheetViews>
    <sheetView showFormulas="false" showGridLines="true" showRowColHeaders="true" showZeros="true" rightToLeft="false" tabSelected="true" showOutlineSymbols="true" defaultGridColor="true" view="normal" topLeftCell="A1" colorId="64" zoomScale="130" zoomScaleNormal="130" zoomScalePageLayoutView="100" workbookViewId="0">
      <selection pane="topLeft" activeCell="D2560" activeCellId="0" sqref="D2560"/>
    </sheetView>
  </sheetViews>
  <sheetFormatPr defaultRowHeight="12.8" zeroHeight="false" outlineLevelRow="0" outlineLevelCol="0"/>
  <cols>
    <col collapsed="false" customWidth="true" hidden="false" outlineLevel="0" max="1" min="1" style="0" width="47.07"/>
    <col collapsed="false" customWidth="true" hidden="false" outlineLevel="0" max="2" min="2" style="0" width="5.81"/>
    <col collapsed="false" customWidth="true" hidden="false" outlineLevel="0" max="3" min="3" style="0" width="17.97"/>
    <col collapsed="false" customWidth="true" hidden="false" outlineLevel="0" max="4" min="4" style="0" width="27.25"/>
    <col collapsed="false" customWidth="true" hidden="false" outlineLevel="0" max="5" min="5" style="0" width="45.15"/>
    <col collapsed="false" customWidth="true" hidden="false" outlineLevel="0" max="6" min="6" style="0" width="4.25"/>
    <col collapsed="false" customWidth="false" hidden="false" outlineLevel="0" max="7" min="7" style="0" width="11.52"/>
    <col collapsed="false" customWidth="true" hidden="false" outlineLevel="0" max="8" min="8" style="0" width="7.98"/>
    <col collapsed="false" customWidth="true" hidden="false" outlineLevel="0" max="9" min="9" style="0" width="10.68"/>
    <col collapsed="false" customWidth="true" hidden="false" outlineLevel="0" max="10" min="10" style="0" width="12.93"/>
    <col collapsed="false" customWidth="true" hidden="false" outlineLevel="0" max="11" min="11" style="0" width="9.61"/>
    <col collapsed="false" customWidth="true" hidden="false" outlineLevel="0" max="12" min="12" style="0" width="17.41"/>
    <col collapsed="false" customWidth="false" hidden="false" outlineLevel="0" max="1025" min="13" style="0" width="11.52"/>
  </cols>
  <sheetData>
    <row r="1" customFormat="false" ht="12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customFormat="false" ht="12.8" hidden="false" customHeight="false" outlineLevel="0" collapsed="false">
      <c r="A2" s="2" t="str">
        <f aca="false">HYPERLINK("https://www.fabsurplus.com/sdi_catalog/salesItemDetails.do?id=54226")</f>
        <v>https://www.fabsurplus.com/sdi_catalog/salesItemDetails.do?id=54226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17</v>
      </c>
      <c r="H2" s="2" t="s">
        <v>18</v>
      </c>
      <c r="I2" s="3" t="n">
        <v>36312</v>
      </c>
      <c r="J2" s="2" t="s">
        <v>19</v>
      </c>
      <c r="K2" s="2" t="s">
        <v>20</v>
      </c>
      <c r="L2" s="2" t="s">
        <v>21</v>
      </c>
    </row>
    <row r="3" customFormat="false" ht="12.8" hidden="false" customHeight="false" outlineLevel="0" collapsed="false">
      <c r="A3" s="4" t="str">
        <f aca="false">HYPERLINK("https://www.fabsurplus.com/sdi_catalog/salesItemDetails.do?id=95398")</f>
        <v>https://www.fabsurplus.com/sdi_catalog/salesItemDetails.do?id=95398</v>
      </c>
      <c r="B3" s="4" t="s">
        <v>22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18</v>
      </c>
      <c r="I3" s="5" t="n">
        <v>36312</v>
      </c>
      <c r="J3" s="4" t="s">
        <v>19</v>
      </c>
      <c r="K3" s="4" t="s">
        <v>20</v>
      </c>
      <c r="L3" s="4" t="s">
        <v>21</v>
      </c>
    </row>
    <row r="4" customFormat="false" ht="12.8" hidden="false" customHeight="false" outlineLevel="0" collapsed="false">
      <c r="A4" s="2" t="str">
        <f aca="false">HYPERLINK("https://www.fabsurplus.com/sdi_catalog/salesItemDetails.do?id=95399")</f>
        <v>https://www.fabsurplus.com/sdi_catalog/salesItemDetails.do?id=95399</v>
      </c>
      <c r="B4" s="2" t="s">
        <v>23</v>
      </c>
      <c r="C4" s="2" t="s">
        <v>13</v>
      </c>
      <c r="D4" s="2" t="s">
        <v>14</v>
      </c>
      <c r="E4" s="2" t="s">
        <v>15</v>
      </c>
      <c r="F4" s="2" t="s">
        <v>16</v>
      </c>
      <c r="G4" s="2" t="s">
        <v>17</v>
      </c>
      <c r="H4" s="2" t="s">
        <v>18</v>
      </c>
      <c r="I4" s="3" t="n">
        <v>36312</v>
      </c>
      <c r="J4" s="2" t="s">
        <v>19</v>
      </c>
      <c r="K4" s="2" t="s">
        <v>20</v>
      </c>
      <c r="L4" s="2" t="s">
        <v>21</v>
      </c>
    </row>
    <row r="5" customFormat="false" ht="12.8" hidden="false" customHeight="false" outlineLevel="0" collapsed="false">
      <c r="A5" s="4" t="str">
        <f aca="false">HYPERLINK("https://www.fabsurplus.com/sdi_catalog/salesItemDetails.do?id=95400")</f>
        <v>https://www.fabsurplus.com/sdi_catalog/salesItemDetails.do?id=95400</v>
      </c>
      <c r="B5" s="4" t="s">
        <v>24</v>
      </c>
      <c r="C5" s="4" t="s">
        <v>13</v>
      </c>
      <c r="D5" s="4" t="s">
        <v>14</v>
      </c>
      <c r="E5" s="4" t="s">
        <v>15</v>
      </c>
      <c r="F5" s="4" t="s">
        <v>16</v>
      </c>
      <c r="G5" s="4" t="s">
        <v>17</v>
      </c>
      <c r="H5" s="4" t="s">
        <v>18</v>
      </c>
      <c r="I5" s="5" t="n">
        <v>36312</v>
      </c>
      <c r="J5" s="4" t="s">
        <v>19</v>
      </c>
      <c r="K5" s="4" t="s">
        <v>20</v>
      </c>
      <c r="L5" s="4" t="s">
        <v>21</v>
      </c>
    </row>
    <row r="6" customFormat="false" ht="12.8" hidden="false" customHeight="false" outlineLevel="0" collapsed="false">
      <c r="A6" s="2" t="str">
        <f aca="false">HYPERLINK("https://www.fabsurplus.com/sdi_catalog/salesItemDetails.do?id=95401")</f>
        <v>https://www.fabsurplus.com/sdi_catalog/salesItemDetails.do?id=95401</v>
      </c>
      <c r="B6" s="2" t="s">
        <v>25</v>
      </c>
      <c r="C6" s="2" t="s">
        <v>13</v>
      </c>
      <c r="D6" s="2" t="s">
        <v>14</v>
      </c>
      <c r="E6" s="2" t="s">
        <v>15</v>
      </c>
      <c r="F6" s="2" t="s">
        <v>16</v>
      </c>
      <c r="G6" s="2" t="s">
        <v>17</v>
      </c>
      <c r="H6" s="2" t="s">
        <v>18</v>
      </c>
      <c r="I6" s="3" t="n">
        <v>36312</v>
      </c>
      <c r="J6" s="2" t="s">
        <v>19</v>
      </c>
      <c r="K6" s="2" t="s">
        <v>20</v>
      </c>
      <c r="L6" s="2" t="s">
        <v>21</v>
      </c>
    </row>
    <row r="7" customFormat="false" ht="12.8" hidden="false" customHeight="false" outlineLevel="0" collapsed="false">
      <c r="A7" s="4" t="str">
        <f aca="false">HYPERLINK("https://www.fabsurplus.com/sdi_catalog/salesItemDetails.do?id=95402")</f>
        <v>https://www.fabsurplus.com/sdi_catalog/salesItemDetails.do?id=95402</v>
      </c>
      <c r="B7" s="4" t="s">
        <v>26</v>
      </c>
      <c r="C7" s="4" t="s">
        <v>13</v>
      </c>
      <c r="D7" s="4" t="s">
        <v>14</v>
      </c>
      <c r="E7" s="4" t="s">
        <v>15</v>
      </c>
      <c r="F7" s="4" t="s">
        <v>16</v>
      </c>
      <c r="G7" s="4" t="s">
        <v>17</v>
      </c>
      <c r="H7" s="4" t="s">
        <v>18</v>
      </c>
      <c r="I7" s="5" t="n">
        <v>36312</v>
      </c>
      <c r="J7" s="4" t="s">
        <v>19</v>
      </c>
      <c r="K7" s="4" t="s">
        <v>20</v>
      </c>
      <c r="L7" s="4" t="s">
        <v>21</v>
      </c>
    </row>
    <row r="8" customFormat="false" ht="12.8" hidden="false" customHeight="false" outlineLevel="0" collapsed="false">
      <c r="A8" s="2" t="str">
        <f aca="false">HYPERLINK("https://www.fabsurplus.com/sdi_catalog/salesItemDetails.do?id=95403")</f>
        <v>https://www.fabsurplus.com/sdi_catalog/salesItemDetails.do?id=95403</v>
      </c>
      <c r="B8" s="2" t="s">
        <v>27</v>
      </c>
      <c r="C8" s="2" t="s">
        <v>13</v>
      </c>
      <c r="D8" s="2" t="s">
        <v>14</v>
      </c>
      <c r="E8" s="2" t="s">
        <v>15</v>
      </c>
      <c r="F8" s="2" t="s">
        <v>16</v>
      </c>
      <c r="G8" s="2" t="s">
        <v>17</v>
      </c>
      <c r="H8" s="2" t="s">
        <v>18</v>
      </c>
      <c r="I8" s="3" t="n">
        <v>36312</v>
      </c>
      <c r="J8" s="2" t="s">
        <v>19</v>
      </c>
      <c r="K8" s="2" t="s">
        <v>20</v>
      </c>
      <c r="L8" s="2" t="s">
        <v>21</v>
      </c>
    </row>
    <row r="9" customFormat="false" ht="12.8" hidden="false" customHeight="false" outlineLevel="0" collapsed="false">
      <c r="A9" s="4" t="str">
        <f aca="false">HYPERLINK("https://www.fabsurplus.com/sdi_catalog/salesItemDetails.do?id=76604")</f>
        <v>https://www.fabsurplus.com/sdi_catalog/salesItemDetails.do?id=76604</v>
      </c>
      <c r="B9" s="4" t="s">
        <v>28</v>
      </c>
      <c r="C9" s="4" t="s">
        <v>29</v>
      </c>
      <c r="D9" s="4" t="s">
        <v>30</v>
      </c>
      <c r="E9" s="4" t="s">
        <v>31</v>
      </c>
      <c r="F9" s="4" t="s">
        <v>16</v>
      </c>
      <c r="G9" s="4" t="s">
        <v>32</v>
      </c>
      <c r="H9" s="4" t="s">
        <v>33</v>
      </c>
      <c r="I9" s="4"/>
      <c r="J9" s="4" t="s">
        <v>19</v>
      </c>
      <c r="K9" s="4" t="s">
        <v>20</v>
      </c>
      <c r="L9" s="4" t="s">
        <v>21</v>
      </c>
    </row>
    <row r="10" customFormat="false" ht="12.8" hidden="false" customHeight="false" outlineLevel="0" collapsed="false">
      <c r="A10" s="2" t="str">
        <f aca="false">HYPERLINK("https://www.fabsurplus.com/sdi_catalog/salesItemDetails.do?id=78639")</f>
        <v>https://www.fabsurplus.com/sdi_catalog/salesItemDetails.do?id=78639</v>
      </c>
      <c r="B10" s="2" t="s">
        <v>34</v>
      </c>
      <c r="C10" s="2" t="s">
        <v>35</v>
      </c>
      <c r="D10" s="2" t="s">
        <v>36</v>
      </c>
      <c r="E10" s="2" t="s">
        <v>37</v>
      </c>
      <c r="F10" s="2" t="s">
        <v>16</v>
      </c>
      <c r="G10" s="2" t="s">
        <v>38</v>
      </c>
      <c r="H10" s="2" t="s">
        <v>18</v>
      </c>
      <c r="I10" s="3" t="n">
        <v>35765</v>
      </c>
      <c r="J10" s="2" t="s">
        <v>19</v>
      </c>
      <c r="K10" s="2" t="s">
        <v>20</v>
      </c>
      <c r="L10" s="2" t="s">
        <v>39</v>
      </c>
    </row>
    <row r="11" customFormat="false" ht="12.8" hidden="false" customHeight="false" outlineLevel="0" collapsed="false">
      <c r="A11" s="4" t="str">
        <f aca="false">HYPERLINK("https://www.fabsurplus.com/sdi_catalog/salesItemDetails.do?id=87652")</f>
        <v>https://www.fabsurplus.com/sdi_catalog/salesItemDetails.do?id=87652</v>
      </c>
      <c r="B11" s="4" t="s">
        <v>40</v>
      </c>
      <c r="C11" s="4" t="s">
        <v>35</v>
      </c>
      <c r="D11" s="4" t="s">
        <v>41</v>
      </c>
      <c r="E11" s="4" t="s">
        <v>42</v>
      </c>
      <c r="F11" s="4" t="s">
        <v>16</v>
      </c>
      <c r="G11" s="4" t="s">
        <v>43</v>
      </c>
      <c r="H11" s="4" t="s">
        <v>33</v>
      </c>
      <c r="I11" s="4"/>
      <c r="J11" s="4" t="s">
        <v>19</v>
      </c>
      <c r="K11" s="4" t="s">
        <v>20</v>
      </c>
      <c r="L11" s="4" t="s">
        <v>21</v>
      </c>
    </row>
    <row r="12" customFormat="false" ht="12.8" hidden="false" customHeight="false" outlineLevel="0" collapsed="false">
      <c r="A12" s="2" t="str">
        <f aca="false">HYPERLINK("https://www.fabsurplus.com/sdi_catalog/salesItemDetails.do?id=89909")</f>
        <v>https://www.fabsurplus.com/sdi_catalog/salesItemDetails.do?id=89909</v>
      </c>
      <c r="B12" s="2" t="s">
        <v>44</v>
      </c>
      <c r="C12" s="2" t="s">
        <v>35</v>
      </c>
      <c r="D12" s="2" t="s">
        <v>45</v>
      </c>
      <c r="E12" s="2" t="s">
        <v>46</v>
      </c>
      <c r="F12" s="2" t="s">
        <v>16</v>
      </c>
      <c r="G12" s="2" t="s">
        <v>47</v>
      </c>
      <c r="H12" s="2" t="s">
        <v>33</v>
      </c>
      <c r="I12" s="3" t="n">
        <v>38504</v>
      </c>
      <c r="J12" s="2" t="s">
        <v>19</v>
      </c>
      <c r="K12" s="2" t="s">
        <v>20</v>
      </c>
      <c r="L12" s="2" t="s">
        <v>48</v>
      </c>
    </row>
    <row r="13" customFormat="false" ht="12.8" hidden="false" customHeight="false" outlineLevel="0" collapsed="false">
      <c r="A13" s="4" t="str">
        <f aca="false">HYPERLINK("https://www.fabsurplus.com/sdi_catalog/salesItemDetails.do?id=92009")</f>
        <v>https://www.fabsurplus.com/sdi_catalog/salesItemDetails.do?id=92009</v>
      </c>
      <c r="B13" s="4" t="s">
        <v>49</v>
      </c>
      <c r="C13" s="4" t="s">
        <v>35</v>
      </c>
      <c r="D13" s="4" t="s">
        <v>50</v>
      </c>
      <c r="E13" s="4" t="s">
        <v>51</v>
      </c>
      <c r="F13" s="4" t="s">
        <v>52</v>
      </c>
      <c r="G13" s="4" t="s">
        <v>53</v>
      </c>
      <c r="H13" s="4" t="s">
        <v>33</v>
      </c>
      <c r="I13" s="4"/>
      <c r="J13" s="4" t="s">
        <v>19</v>
      </c>
      <c r="K13" s="4" t="s">
        <v>20</v>
      </c>
      <c r="L13" s="4" t="s">
        <v>54</v>
      </c>
    </row>
    <row r="14" customFormat="false" ht="12.8" hidden="false" customHeight="false" outlineLevel="0" collapsed="false">
      <c r="A14" s="2" t="str">
        <f aca="false">HYPERLINK("https://www.fabsurplus.com/sdi_catalog/salesItemDetails.do?id=18868")</f>
        <v>https://www.fabsurplus.com/sdi_catalog/salesItemDetails.do?id=18868</v>
      </c>
      <c r="B14" s="2" t="s">
        <v>55</v>
      </c>
      <c r="C14" s="2" t="s">
        <v>56</v>
      </c>
      <c r="D14" s="2" t="s">
        <v>57</v>
      </c>
      <c r="E14" s="2" t="s">
        <v>58</v>
      </c>
      <c r="F14" s="2" t="s">
        <v>16</v>
      </c>
      <c r="G14" s="2" t="s">
        <v>59</v>
      </c>
      <c r="H14" s="2" t="s">
        <v>18</v>
      </c>
      <c r="I14" s="2"/>
      <c r="J14" s="2" t="s">
        <v>19</v>
      </c>
      <c r="K14" s="2" t="s">
        <v>20</v>
      </c>
      <c r="L14" s="2" t="s">
        <v>60</v>
      </c>
    </row>
    <row r="15" customFormat="false" ht="12.8" hidden="false" customHeight="false" outlineLevel="0" collapsed="false">
      <c r="A15" s="4" t="str">
        <f aca="false">HYPERLINK("https://www.fabsurplus.com/sdi_catalog/salesItemDetails.do?id=18869")</f>
        <v>https://www.fabsurplus.com/sdi_catalog/salesItemDetails.do?id=18869</v>
      </c>
      <c r="B15" s="4" t="s">
        <v>61</v>
      </c>
      <c r="C15" s="4" t="s">
        <v>56</v>
      </c>
      <c r="D15" s="4" t="s">
        <v>62</v>
      </c>
      <c r="E15" s="4" t="s">
        <v>63</v>
      </c>
      <c r="F15" s="4" t="s">
        <v>16</v>
      </c>
      <c r="G15" s="4" t="s">
        <v>59</v>
      </c>
      <c r="H15" s="4" t="s">
        <v>18</v>
      </c>
      <c r="I15" s="4"/>
      <c r="J15" s="4" t="s">
        <v>19</v>
      </c>
      <c r="K15" s="4" t="s">
        <v>20</v>
      </c>
      <c r="L15" s="4" t="s">
        <v>60</v>
      </c>
    </row>
    <row r="16" customFormat="false" ht="12.8" hidden="false" customHeight="false" outlineLevel="0" collapsed="false">
      <c r="A16" s="2" t="str">
        <f aca="false">HYPERLINK("https://www.fabsurplus.com/sdi_catalog/salesItemDetails.do?id=18870")</f>
        <v>https://www.fabsurplus.com/sdi_catalog/salesItemDetails.do?id=18870</v>
      </c>
      <c r="B16" s="2" t="s">
        <v>64</v>
      </c>
      <c r="C16" s="2" t="s">
        <v>56</v>
      </c>
      <c r="D16" s="2" t="s">
        <v>65</v>
      </c>
      <c r="E16" s="2" t="s">
        <v>66</v>
      </c>
      <c r="F16" s="2" t="s">
        <v>16</v>
      </c>
      <c r="G16" s="2"/>
      <c r="H16" s="2"/>
      <c r="I16" s="2"/>
      <c r="J16" s="2" t="s">
        <v>19</v>
      </c>
      <c r="K16" s="2"/>
      <c r="L16" s="2" t="s">
        <v>60</v>
      </c>
    </row>
    <row r="17" customFormat="false" ht="12.8" hidden="false" customHeight="false" outlineLevel="0" collapsed="false">
      <c r="A17" s="4" t="str">
        <f aca="false">HYPERLINK("https://www.fabsurplus.com/sdi_catalog/salesItemDetails.do?id=76605")</f>
        <v>https://www.fabsurplus.com/sdi_catalog/salesItemDetails.do?id=76605</v>
      </c>
      <c r="B17" s="4" t="s">
        <v>67</v>
      </c>
      <c r="C17" s="4" t="s">
        <v>68</v>
      </c>
      <c r="D17" s="4" t="s">
        <v>69</v>
      </c>
      <c r="E17" s="4" t="s">
        <v>70</v>
      </c>
      <c r="F17" s="4" t="s">
        <v>16</v>
      </c>
      <c r="G17" s="4" t="s">
        <v>32</v>
      </c>
      <c r="H17" s="4" t="s">
        <v>33</v>
      </c>
      <c r="I17" s="5" t="n">
        <v>37043</v>
      </c>
      <c r="J17" s="4" t="s">
        <v>19</v>
      </c>
      <c r="K17" s="4" t="s">
        <v>20</v>
      </c>
      <c r="L17" s="4" t="s">
        <v>71</v>
      </c>
    </row>
    <row r="18" customFormat="false" ht="12.8" hidden="false" customHeight="false" outlineLevel="0" collapsed="false">
      <c r="A18" s="2" t="str">
        <f aca="false">HYPERLINK("https://www.fabsurplus.com/sdi_catalog/salesItemDetails.do?id=79588")</f>
        <v>https://www.fabsurplus.com/sdi_catalog/salesItemDetails.do?id=79588</v>
      </c>
      <c r="B18" s="2" t="s">
        <v>72</v>
      </c>
      <c r="C18" s="2" t="s">
        <v>68</v>
      </c>
      <c r="D18" s="2" t="s">
        <v>73</v>
      </c>
      <c r="E18" s="2" t="s">
        <v>74</v>
      </c>
      <c r="F18" s="2" t="s">
        <v>16</v>
      </c>
      <c r="G18" s="2" t="s">
        <v>75</v>
      </c>
      <c r="H18" s="2" t="s">
        <v>33</v>
      </c>
      <c r="I18" s="3" t="n">
        <v>39356</v>
      </c>
      <c r="J18" s="2" t="s">
        <v>19</v>
      </c>
      <c r="K18" s="2" t="s">
        <v>20</v>
      </c>
      <c r="L18" s="2" t="s">
        <v>21</v>
      </c>
    </row>
    <row r="19" customFormat="false" ht="12.8" hidden="false" customHeight="false" outlineLevel="0" collapsed="false">
      <c r="A19" s="4" t="str">
        <f aca="false">HYPERLINK("https://www.fabsurplus.com/sdi_catalog/salesItemDetails.do?id=79589")</f>
        <v>https://www.fabsurplus.com/sdi_catalog/salesItemDetails.do?id=79589</v>
      </c>
      <c r="B19" s="4" t="s">
        <v>76</v>
      </c>
      <c r="C19" s="4" t="s">
        <v>68</v>
      </c>
      <c r="D19" s="4" t="s">
        <v>73</v>
      </c>
      <c r="E19" s="4" t="s">
        <v>74</v>
      </c>
      <c r="F19" s="4" t="s">
        <v>16</v>
      </c>
      <c r="G19" s="4" t="s">
        <v>75</v>
      </c>
      <c r="H19" s="4" t="s">
        <v>33</v>
      </c>
      <c r="I19" s="5" t="n">
        <v>39722</v>
      </c>
      <c r="J19" s="4" t="s">
        <v>19</v>
      </c>
      <c r="K19" s="4" t="s">
        <v>20</v>
      </c>
      <c r="L19" s="4" t="s">
        <v>21</v>
      </c>
    </row>
    <row r="20" customFormat="false" ht="12.8" hidden="false" customHeight="false" outlineLevel="0" collapsed="false">
      <c r="A20" s="2" t="str">
        <f aca="false">HYPERLINK("https://www.fabsurplus.com/sdi_catalog/salesItemDetails.do?id=10544")</f>
        <v>https://www.fabsurplus.com/sdi_catalog/salesItemDetails.do?id=10544</v>
      </c>
      <c r="B20" s="2" t="s">
        <v>77</v>
      </c>
      <c r="C20" s="2" t="s">
        <v>78</v>
      </c>
      <c r="D20" s="2" t="s">
        <v>79</v>
      </c>
      <c r="E20" s="2" t="s">
        <v>80</v>
      </c>
      <c r="F20" s="2" t="s">
        <v>16</v>
      </c>
      <c r="G20" s="2" t="s">
        <v>38</v>
      </c>
      <c r="H20" s="2" t="s">
        <v>33</v>
      </c>
      <c r="I20" s="2"/>
      <c r="J20" s="2" t="s">
        <v>81</v>
      </c>
      <c r="K20" s="2" t="s">
        <v>20</v>
      </c>
      <c r="L20" s="2" t="s">
        <v>48</v>
      </c>
    </row>
    <row r="21" customFormat="false" ht="12.8" hidden="false" customHeight="false" outlineLevel="0" collapsed="false">
      <c r="A21" s="4" t="str">
        <f aca="false">HYPERLINK("https://www.fabsurplus.com/sdi_catalog/salesItemDetails.do?id=2669")</f>
        <v>https://www.fabsurplus.com/sdi_catalog/salesItemDetails.do?id=2669</v>
      </c>
      <c r="B21" s="4" t="s">
        <v>82</v>
      </c>
      <c r="C21" s="4" t="s">
        <v>83</v>
      </c>
      <c r="D21" s="4" t="s">
        <v>84</v>
      </c>
      <c r="E21" s="4" t="s">
        <v>85</v>
      </c>
      <c r="F21" s="4" t="s">
        <v>16</v>
      </c>
      <c r="G21" s="4" t="s">
        <v>86</v>
      </c>
      <c r="H21" s="4" t="s">
        <v>33</v>
      </c>
      <c r="I21" s="5" t="n">
        <v>34912</v>
      </c>
      <c r="J21" s="4" t="s">
        <v>19</v>
      </c>
      <c r="K21" s="4" t="s">
        <v>20</v>
      </c>
      <c r="L21" s="4" t="s">
        <v>87</v>
      </c>
    </row>
    <row r="22" customFormat="false" ht="12.8" hidden="false" customHeight="false" outlineLevel="0" collapsed="false">
      <c r="A22" s="2" t="str">
        <f aca="false">HYPERLINK("https://www.fabsurplus.com/sdi_catalog/salesItemDetails.do?id=10637")</f>
        <v>https://www.fabsurplus.com/sdi_catalog/salesItemDetails.do?id=10637</v>
      </c>
      <c r="B22" s="2" t="s">
        <v>88</v>
      </c>
      <c r="C22" s="2" t="s">
        <v>89</v>
      </c>
      <c r="D22" s="2" t="s">
        <v>90</v>
      </c>
      <c r="E22" s="2" t="s">
        <v>85</v>
      </c>
      <c r="F22" s="2" t="s">
        <v>16</v>
      </c>
      <c r="G22" s="2" t="s">
        <v>86</v>
      </c>
      <c r="H22" s="2" t="s">
        <v>18</v>
      </c>
      <c r="I22" s="3" t="n">
        <v>34851</v>
      </c>
      <c r="J22" s="2" t="s">
        <v>81</v>
      </c>
      <c r="K22" s="2" t="s">
        <v>20</v>
      </c>
      <c r="L22" s="2" t="s">
        <v>21</v>
      </c>
    </row>
    <row r="23" customFormat="false" ht="12.8" hidden="false" customHeight="false" outlineLevel="0" collapsed="false">
      <c r="A23" s="4" t="str">
        <f aca="false">HYPERLINK("https://www.fabsurplus.com/sdi_catalog/salesItemDetails.do?id=34740")</f>
        <v>https://www.fabsurplus.com/sdi_catalog/salesItemDetails.do?id=34740</v>
      </c>
      <c r="B23" s="4" t="s">
        <v>91</v>
      </c>
      <c r="C23" s="4" t="s">
        <v>92</v>
      </c>
      <c r="D23" s="4" t="s">
        <v>93</v>
      </c>
      <c r="E23" s="4" t="s">
        <v>94</v>
      </c>
      <c r="F23" s="4" t="s">
        <v>16</v>
      </c>
      <c r="G23" s="4" t="s">
        <v>32</v>
      </c>
      <c r="H23" s="4" t="s">
        <v>33</v>
      </c>
      <c r="I23" s="5" t="n">
        <v>38657</v>
      </c>
      <c r="J23" s="4" t="s">
        <v>19</v>
      </c>
      <c r="K23" s="4" t="s">
        <v>20</v>
      </c>
      <c r="L23" s="4" t="s">
        <v>95</v>
      </c>
    </row>
    <row r="24" customFormat="false" ht="12.8" hidden="false" customHeight="false" outlineLevel="0" collapsed="false">
      <c r="A24" s="2" t="str">
        <f aca="false">HYPERLINK("https://www.fabsurplus.com/sdi_catalog/salesItemDetails.do?id=3419")</f>
        <v>https://www.fabsurplus.com/sdi_catalog/salesItemDetails.do?id=3419</v>
      </c>
      <c r="B24" s="2" t="s">
        <v>96</v>
      </c>
      <c r="C24" s="2" t="s">
        <v>97</v>
      </c>
      <c r="D24" s="2" t="s">
        <v>98</v>
      </c>
      <c r="E24" s="2" t="s">
        <v>99</v>
      </c>
      <c r="F24" s="2" t="s">
        <v>16</v>
      </c>
      <c r="G24" s="2" t="s">
        <v>100</v>
      </c>
      <c r="H24" s="2" t="s">
        <v>18</v>
      </c>
      <c r="I24" s="3" t="n">
        <v>34335</v>
      </c>
      <c r="J24" s="2" t="s">
        <v>81</v>
      </c>
      <c r="K24" s="2" t="s">
        <v>20</v>
      </c>
      <c r="L24" s="2" t="s">
        <v>101</v>
      </c>
    </row>
    <row r="25" customFormat="false" ht="12.8" hidden="false" customHeight="false" outlineLevel="0" collapsed="false">
      <c r="A25" s="4" t="str">
        <f aca="false">HYPERLINK("https://www.fabsurplus.com/sdi_catalog/salesItemDetails.do?id=11568")</f>
        <v>https://www.fabsurplus.com/sdi_catalog/salesItemDetails.do?id=11568</v>
      </c>
      <c r="B25" s="4" t="s">
        <v>102</v>
      </c>
      <c r="C25" s="4" t="s">
        <v>97</v>
      </c>
      <c r="D25" s="4" t="s">
        <v>103</v>
      </c>
      <c r="E25" s="4" t="s">
        <v>104</v>
      </c>
      <c r="F25" s="4" t="s">
        <v>16</v>
      </c>
      <c r="G25" s="4" t="s">
        <v>86</v>
      </c>
      <c r="H25" s="4" t="s">
        <v>18</v>
      </c>
      <c r="I25" s="4"/>
      <c r="J25" s="4" t="s">
        <v>81</v>
      </c>
      <c r="K25" s="4" t="s">
        <v>20</v>
      </c>
      <c r="L25" s="4" t="s">
        <v>21</v>
      </c>
    </row>
    <row r="26" customFormat="false" ht="12.8" hidden="false" customHeight="false" outlineLevel="0" collapsed="false">
      <c r="A26" s="2" t="str">
        <f aca="false">HYPERLINK("https://www.fabsurplus.com/sdi_catalog/salesItemDetails.do?id=11569")</f>
        <v>https://www.fabsurplus.com/sdi_catalog/salesItemDetails.do?id=11569</v>
      </c>
      <c r="B26" s="2" t="s">
        <v>105</v>
      </c>
      <c r="C26" s="2" t="s">
        <v>97</v>
      </c>
      <c r="D26" s="2" t="s">
        <v>106</v>
      </c>
      <c r="E26" s="2" t="s">
        <v>104</v>
      </c>
      <c r="F26" s="2" t="s">
        <v>16</v>
      </c>
      <c r="G26" s="2" t="s">
        <v>86</v>
      </c>
      <c r="H26" s="2" t="s">
        <v>33</v>
      </c>
      <c r="I26" s="3" t="n">
        <v>35156</v>
      </c>
      <c r="J26" s="2" t="s">
        <v>81</v>
      </c>
      <c r="K26" s="2" t="s">
        <v>20</v>
      </c>
      <c r="L26" s="2" t="s">
        <v>21</v>
      </c>
    </row>
    <row r="27" customFormat="false" ht="12.8" hidden="false" customHeight="false" outlineLevel="0" collapsed="false">
      <c r="A27" s="4" t="str">
        <f aca="false">HYPERLINK("https://www.fabsurplus.com/sdi_catalog/salesItemDetails.do?id=83514")</f>
        <v>https://www.fabsurplus.com/sdi_catalog/salesItemDetails.do?id=83514</v>
      </c>
      <c r="B27" s="4" t="s">
        <v>107</v>
      </c>
      <c r="C27" s="4" t="s">
        <v>97</v>
      </c>
      <c r="D27" s="4" t="s">
        <v>108</v>
      </c>
      <c r="E27" s="4" t="s">
        <v>109</v>
      </c>
      <c r="F27" s="4" t="s">
        <v>16</v>
      </c>
      <c r="G27" s="4" t="s">
        <v>32</v>
      </c>
      <c r="H27" s="4" t="s">
        <v>33</v>
      </c>
      <c r="I27" s="5" t="n">
        <v>35582</v>
      </c>
      <c r="J27" s="4" t="s">
        <v>19</v>
      </c>
      <c r="K27" s="4" t="s">
        <v>20</v>
      </c>
      <c r="L27" s="4" t="s">
        <v>21</v>
      </c>
    </row>
    <row r="28" customFormat="false" ht="12.8" hidden="false" customHeight="false" outlineLevel="0" collapsed="false">
      <c r="A28" s="2" t="str">
        <f aca="false">HYPERLINK("https://www.fabsurplus.com/sdi_catalog/salesItemDetails.do?id=84765")</f>
        <v>https://www.fabsurplus.com/sdi_catalog/salesItemDetails.do?id=84765</v>
      </c>
      <c r="B28" s="2" t="s">
        <v>110</v>
      </c>
      <c r="C28" s="2" t="s">
        <v>111</v>
      </c>
      <c r="D28" s="2" t="s">
        <v>112</v>
      </c>
      <c r="E28" s="2" t="s">
        <v>113</v>
      </c>
      <c r="F28" s="2" t="s">
        <v>16</v>
      </c>
      <c r="G28" s="2" t="s">
        <v>114</v>
      </c>
      <c r="H28" s="2" t="s">
        <v>115</v>
      </c>
      <c r="I28" s="2"/>
      <c r="J28" s="2" t="s">
        <v>19</v>
      </c>
      <c r="K28" s="2" t="s">
        <v>20</v>
      </c>
      <c r="L28" s="2" t="s">
        <v>116</v>
      </c>
    </row>
    <row r="29" customFormat="false" ht="12.8" hidden="false" customHeight="false" outlineLevel="0" collapsed="false">
      <c r="A29" s="4" t="str">
        <f aca="false">HYPERLINK("https://www.fabsurplus.com/sdi_catalog/salesItemDetails.do?id=95404")</f>
        <v>https://www.fabsurplus.com/sdi_catalog/salesItemDetails.do?id=95404</v>
      </c>
      <c r="B29" s="4" t="s">
        <v>117</v>
      </c>
      <c r="C29" s="4" t="s">
        <v>111</v>
      </c>
      <c r="D29" s="4" t="s">
        <v>112</v>
      </c>
      <c r="E29" s="4" t="s">
        <v>113</v>
      </c>
      <c r="F29" s="4" t="s">
        <v>16</v>
      </c>
      <c r="G29" s="4" t="s">
        <v>114</v>
      </c>
      <c r="H29" s="4" t="s">
        <v>115</v>
      </c>
      <c r="I29" s="4"/>
      <c r="J29" s="4" t="s">
        <v>19</v>
      </c>
      <c r="K29" s="4" t="s">
        <v>20</v>
      </c>
      <c r="L29" s="4" t="s">
        <v>116</v>
      </c>
    </row>
    <row r="30" customFormat="false" ht="12.8" hidden="false" customHeight="false" outlineLevel="0" collapsed="false">
      <c r="A30" s="2" t="str">
        <f aca="false">HYPERLINK("https://www.fabsurplus.com/sdi_catalog/salesItemDetails.do?id=54859")</f>
        <v>https://www.fabsurplus.com/sdi_catalog/salesItemDetails.do?id=54859</v>
      </c>
      <c r="B30" s="2" t="s">
        <v>118</v>
      </c>
      <c r="C30" s="2" t="s">
        <v>119</v>
      </c>
      <c r="D30" s="2" t="s">
        <v>120</v>
      </c>
      <c r="E30" s="2" t="s">
        <v>121</v>
      </c>
      <c r="F30" s="2" t="s">
        <v>16</v>
      </c>
      <c r="G30" s="2" t="s">
        <v>122</v>
      </c>
      <c r="H30" s="2" t="s">
        <v>33</v>
      </c>
      <c r="I30" s="3" t="n">
        <v>38687</v>
      </c>
      <c r="J30" s="2" t="s">
        <v>19</v>
      </c>
      <c r="K30" s="2" t="s">
        <v>20</v>
      </c>
      <c r="L30" s="2" t="s">
        <v>123</v>
      </c>
    </row>
    <row r="31" customFormat="false" ht="12.8" hidden="false" customHeight="false" outlineLevel="0" collapsed="false">
      <c r="A31" s="4" t="str">
        <f aca="false">HYPERLINK("https://www.fabsurplus.com/sdi_catalog/salesItemDetails.do?id=77009")</f>
        <v>https://www.fabsurplus.com/sdi_catalog/salesItemDetails.do?id=77009</v>
      </c>
      <c r="B31" s="4" t="s">
        <v>124</v>
      </c>
      <c r="C31" s="4" t="s">
        <v>119</v>
      </c>
      <c r="D31" s="4" t="s">
        <v>125</v>
      </c>
      <c r="E31" s="4" t="s">
        <v>126</v>
      </c>
      <c r="F31" s="4" t="s">
        <v>16</v>
      </c>
      <c r="G31" s="4" t="s">
        <v>122</v>
      </c>
      <c r="H31" s="4" t="s">
        <v>33</v>
      </c>
      <c r="I31" s="5" t="n">
        <v>37043</v>
      </c>
      <c r="J31" s="4" t="s">
        <v>19</v>
      </c>
      <c r="K31" s="4" t="s">
        <v>20</v>
      </c>
      <c r="L31" s="4" t="s">
        <v>127</v>
      </c>
    </row>
    <row r="32" customFormat="false" ht="12.8" hidden="false" customHeight="false" outlineLevel="0" collapsed="false">
      <c r="A32" s="2" t="str">
        <f aca="false">HYPERLINK("https://www.fabsurplus.com/sdi_catalog/salesItemDetails.do?id=77010")</f>
        <v>https://www.fabsurplus.com/sdi_catalog/salesItemDetails.do?id=77010</v>
      </c>
      <c r="B32" s="2" t="s">
        <v>128</v>
      </c>
      <c r="C32" s="2" t="s">
        <v>119</v>
      </c>
      <c r="D32" s="2" t="s">
        <v>129</v>
      </c>
      <c r="E32" s="2" t="s">
        <v>126</v>
      </c>
      <c r="F32" s="2" t="s">
        <v>16</v>
      </c>
      <c r="G32" s="2" t="s">
        <v>122</v>
      </c>
      <c r="H32" s="2" t="s">
        <v>33</v>
      </c>
      <c r="I32" s="3" t="n">
        <v>37196</v>
      </c>
      <c r="J32" s="2" t="s">
        <v>19</v>
      </c>
      <c r="K32" s="2" t="s">
        <v>20</v>
      </c>
      <c r="L32" s="2" t="s">
        <v>127</v>
      </c>
    </row>
    <row r="33" customFormat="false" ht="12.8" hidden="false" customHeight="false" outlineLevel="0" collapsed="false">
      <c r="A33" s="4" t="str">
        <f aca="false">HYPERLINK("https://www.fabsurplus.com/sdi_catalog/salesItemDetails.do?id=77013")</f>
        <v>https://www.fabsurplus.com/sdi_catalog/salesItemDetails.do?id=77013</v>
      </c>
      <c r="B33" s="4" t="s">
        <v>130</v>
      </c>
      <c r="C33" s="4" t="s">
        <v>119</v>
      </c>
      <c r="D33" s="4" t="s">
        <v>131</v>
      </c>
      <c r="E33" s="4" t="s">
        <v>132</v>
      </c>
      <c r="F33" s="4" t="s">
        <v>16</v>
      </c>
      <c r="G33" s="4" t="s">
        <v>122</v>
      </c>
      <c r="H33" s="4" t="s">
        <v>33</v>
      </c>
      <c r="I33" s="5" t="n">
        <v>39234</v>
      </c>
      <c r="J33" s="4" t="s">
        <v>19</v>
      </c>
      <c r="K33" s="4" t="s">
        <v>20</v>
      </c>
      <c r="L33" s="4" t="s">
        <v>127</v>
      </c>
    </row>
    <row r="34" customFormat="false" ht="12.8" hidden="false" customHeight="false" outlineLevel="0" collapsed="false">
      <c r="A34" s="2" t="str">
        <f aca="false">HYPERLINK("https://www.fabsurplus.com/sdi_catalog/salesItemDetails.do?id=77017")</f>
        <v>https://www.fabsurplus.com/sdi_catalog/salesItemDetails.do?id=77017</v>
      </c>
      <c r="B34" s="2" t="s">
        <v>133</v>
      </c>
      <c r="C34" s="2" t="s">
        <v>119</v>
      </c>
      <c r="D34" s="2" t="s">
        <v>134</v>
      </c>
      <c r="E34" s="2" t="s">
        <v>135</v>
      </c>
      <c r="F34" s="2" t="s">
        <v>16</v>
      </c>
      <c r="G34" s="2" t="s">
        <v>122</v>
      </c>
      <c r="H34" s="2" t="s">
        <v>33</v>
      </c>
      <c r="I34" s="3" t="n">
        <v>38869</v>
      </c>
      <c r="J34" s="2" t="s">
        <v>19</v>
      </c>
      <c r="K34" s="2" t="s">
        <v>20</v>
      </c>
      <c r="L34" s="2" t="s">
        <v>127</v>
      </c>
    </row>
    <row r="35" customFormat="false" ht="12.8" hidden="false" customHeight="false" outlineLevel="0" collapsed="false">
      <c r="A35" s="4" t="str">
        <f aca="false">HYPERLINK("https://www.fabsurplus.com/sdi_catalog/salesItemDetails.do?id=77021")</f>
        <v>https://www.fabsurplus.com/sdi_catalog/salesItemDetails.do?id=77021</v>
      </c>
      <c r="B35" s="4" t="s">
        <v>136</v>
      </c>
      <c r="C35" s="4" t="s">
        <v>119</v>
      </c>
      <c r="D35" s="4" t="s">
        <v>137</v>
      </c>
      <c r="E35" s="4" t="s">
        <v>137</v>
      </c>
      <c r="F35" s="4" t="s">
        <v>16</v>
      </c>
      <c r="G35" s="4" t="s">
        <v>122</v>
      </c>
      <c r="H35" s="4" t="s">
        <v>33</v>
      </c>
      <c r="I35" s="5" t="n">
        <v>37196</v>
      </c>
      <c r="J35" s="4" t="s">
        <v>19</v>
      </c>
      <c r="K35" s="4" t="s">
        <v>20</v>
      </c>
      <c r="L35" s="4" t="s">
        <v>127</v>
      </c>
    </row>
    <row r="36" customFormat="false" ht="12.8" hidden="false" customHeight="false" outlineLevel="0" collapsed="false">
      <c r="A36" s="2" t="str">
        <f aca="false">HYPERLINK("https://www.fabsurplus.com/sdi_catalog/salesItemDetails.do?id=77022")</f>
        <v>https://www.fabsurplus.com/sdi_catalog/salesItemDetails.do?id=77022</v>
      </c>
      <c r="B36" s="2" t="s">
        <v>138</v>
      </c>
      <c r="C36" s="2" t="s">
        <v>119</v>
      </c>
      <c r="D36" s="2" t="s">
        <v>139</v>
      </c>
      <c r="E36" s="2" t="s">
        <v>137</v>
      </c>
      <c r="F36" s="2" t="s">
        <v>16</v>
      </c>
      <c r="G36" s="2" t="s">
        <v>122</v>
      </c>
      <c r="H36" s="2" t="s">
        <v>33</v>
      </c>
      <c r="I36" s="3" t="n">
        <v>37196</v>
      </c>
      <c r="J36" s="2" t="s">
        <v>19</v>
      </c>
      <c r="K36" s="2" t="s">
        <v>20</v>
      </c>
      <c r="L36" s="2" t="s">
        <v>127</v>
      </c>
    </row>
    <row r="37" customFormat="false" ht="12.8" hidden="false" customHeight="false" outlineLevel="0" collapsed="false">
      <c r="A37" s="4" t="str">
        <f aca="false">HYPERLINK("https://www.fabsurplus.com/sdi_catalog/salesItemDetails.do?id=52164")</f>
        <v>https://www.fabsurplus.com/sdi_catalog/salesItemDetails.do?id=52164</v>
      </c>
      <c r="B37" s="4" t="s">
        <v>140</v>
      </c>
      <c r="C37" s="4" t="s">
        <v>141</v>
      </c>
      <c r="D37" s="4" t="s">
        <v>142</v>
      </c>
      <c r="E37" s="4" t="s">
        <v>143</v>
      </c>
      <c r="F37" s="4" t="s">
        <v>16</v>
      </c>
      <c r="G37" s="4" t="s">
        <v>53</v>
      </c>
      <c r="H37" s="4" t="s">
        <v>33</v>
      </c>
      <c r="I37" s="5" t="n">
        <v>36342</v>
      </c>
      <c r="J37" s="4" t="s">
        <v>19</v>
      </c>
      <c r="K37" s="4" t="s">
        <v>20</v>
      </c>
      <c r="L37" s="4" t="s">
        <v>144</v>
      </c>
    </row>
    <row r="38" customFormat="false" ht="12.8" hidden="false" customHeight="false" outlineLevel="0" collapsed="false">
      <c r="A38" s="2" t="str">
        <f aca="false">HYPERLINK("https://www.fabsurplus.com/sdi_catalog/salesItemDetails.do?id=68025")</f>
        <v>https://www.fabsurplus.com/sdi_catalog/salesItemDetails.do?id=68025</v>
      </c>
      <c r="B38" s="2" t="s">
        <v>145</v>
      </c>
      <c r="C38" s="2" t="s">
        <v>141</v>
      </c>
      <c r="D38" s="2" t="s">
        <v>146</v>
      </c>
      <c r="E38" s="2" t="s">
        <v>147</v>
      </c>
      <c r="F38" s="2" t="s">
        <v>16</v>
      </c>
      <c r="G38" s="2" t="s">
        <v>148</v>
      </c>
      <c r="H38" s="2" t="s">
        <v>18</v>
      </c>
      <c r="I38" s="3" t="n">
        <v>36678</v>
      </c>
      <c r="J38" s="2" t="s">
        <v>19</v>
      </c>
      <c r="K38" s="2" t="s">
        <v>20</v>
      </c>
      <c r="L38" s="2" t="s">
        <v>116</v>
      </c>
    </row>
    <row r="39" customFormat="false" ht="12.8" hidden="false" customHeight="false" outlineLevel="0" collapsed="false">
      <c r="A39" s="4" t="str">
        <f aca="false">HYPERLINK("https://www.fabsurplus.com/sdi_catalog/salesItemDetails.do?id=56140")</f>
        <v>https://www.fabsurplus.com/sdi_catalog/salesItemDetails.do?id=56140</v>
      </c>
      <c r="B39" s="4" t="s">
        <v>149</v>
      </c>
      <c r="C39" s="4" t="s">
        <v>150</v>
      </c>
      <c r="D39" s="4" t="s">
        <v>151</v>
      </c>
      <c r="E39" s="4" t="s">
        <v>152</v>
      </c>
      <c r="F39" s="4" t="s">
        <v>16</v>
      </c>
      <c r="G39" s="4" t="s">
        <v>153</v>
      </c>
      <c r="H39" s="4" t="s">
        <v>33</v>
      </c>
      <c r="I39" s="5" t="n">
        <v>37043</v>
      </c>
      <c r="J39" s="4" t="s">
        <v>19</v>
      </c>
      <c r="K39" s="4" t="s">
        <v>20</v>
      </c>
      <c r="L39" s="4" t="s">
        <v>127</v>
      </c>
    </row>
    <row r="40" customFormat="false" ht="12.8" hidden="false" customHeight="false" outlineLevel="0" collapsed="false">
      <c r="A40" s="2" t="str">
        <f aca="false">HYPERLINK("https://www.fabsurplus.com/sdi_catalog/salesItemDetails.do?id=56144")</f>
        <v>https://www.fabsurplus.com/sdi_catalog/salesItemDetails.do?id=56144</v>
      </c>
      <c r="B40" s="2" t="s">
        <v>154</v>
      </c>
      <c r="C40" s="2" t="s">
        <v>155</v>
      </c>
      <c r="D40" s="2" t="s">
        <v>156</v>
      </c>
      <c r="E40" s="2" t="s">
        <v>157</v>
      </c>
      <c r="F40" s="2" t="s">
        <v>16</v>
      </c>
      <c r="G40" s="2" t="s">
        <v>122</v>
      </c>
      <c r="H40" s="2" t="s">
        <v>33</v>
      </c>
      <c r="I40" s="3" t="n">
        <v>37773</v>
      </c>
      <c r="J40" s="2" t="s">
        <v>19</v>
      </c>
      <c r="K40" s="2" t="s">
        <v>20</v>
      </c>
      <c r="L40" s="2" t="s">
        <v>127</v>
      </c>
    </row>
    <row r="41" customFormat="false" ht="12.8" hidden="false" customHeight="false" outlineLevel="0" collapsed="false">
      <c r="A41" s="4" t="str">
        <f aca="false">HYPERLINK("https://www.fabsurplus.com/sdi_catalog/salesItemDetails.do?id=80083")</f>
        <v>https://www.fabsurplus.com/sdi_catalog/salesItemDetails.do?id=80083</v>
      </c>
      <c r="B41" s="4" t="s">
        <v>158</v>
      </c>
      <c r="C41" s="4" t="s">
        <v>159</v>
      </c>
      <c r="D41" s="4" t="s">
        <v>160</v>
      </c>
      <c r="E41" s="4" t="s">
        <v>161</v>
      </c>
      <c r="F41" s="4" t="s">
        <v>16</v>
      </c>
      <c r="G41" s="4" t="s">
        <v>162</v>
      </c>
      <c r="H41" s="4" t="s">
        <v>33</v>
      </c>
      <c r="I41" s="5" t="n">
        <v>36678.0833333333</v>
      </c>
      <c r="J41" s="4" t="s">
        <v>19</v>
      </c>
      <c r="K41" s="4" t="s">
        <v>20</v>
      </c>
      <c r="L41" s="4" t="s">
        <v>21</v>
      </c>
    </row>
    <row r="42" customFormat="false" ht="12.8" hidden="false" customHeight="false" outlineLevel="0" collapsed="false">
      <c r="A42" s="2" t="str">
        <f aca="false">HYPERLINK("https://www.fabsurplus.com/sdi_catalog/salesItemDetails.do?id=78638")</f>
        <v>https://www.fabsurplus.com/sdi_catalog/salesItemDetails.do?id=78638</v>
      </c>
      <c r="B42" s="2" t="s">
        <v>163</v>
      </c>
      <c r="C42" s="2" t="s">
        <v>164</v>
      </c>
      <c r="D42" s="2" t="s">
        <v>165</v>
      </c>
      <c r="E42" s="2" t="s">
        <v>166</v>
      </c>
      <c r="F42" s="2" t="s">
        <v>16</v>
      </c>
      <c r="G42" s="2" t="s">
        <v>75</v>
      </c>
      <c r="H42" s="2" t="s">
        <v>167</v>
      </c>
      <c r="I42" s="2"/>
      <c r="J42" s="2" t="s">
        <v>19</v>
      </c>
      <c r="K42" s="2" t="s">
        <v>20</v>
      </c>
      <c r="L42" s="2" t="s">
        <v>39</v>
      </c>
    </row>
    <row r="43" customFormat="false" ht="12.8" hidden="false" customHeight="false" outlineLevel="0" collapsed="false">
      <c r="A43" s="4" t="str">
        <f aca="false">HYPERLINK("https://www.fabsurplus.com/sdi_catalog/salesItemDetails.do?id=87089")</f>
        <v>https://www.fabsurplus.com/sdi_catalog/salesItemDetails.do?id=87089</v>
      </c>
      <c r="B43" s="4" t="s">
        <v>168</v>
      </c>
      <c r="C43" s="4" t="s">
        <v>164</v>
      </c>
      <c r="D43" s="4" t="s">
        <v>169</v>
      </c>
      <c r="E43" s="4" t="s">
        <v>170</v>
      </c>
      <c r="F43" s="4" t="s">
        <v>16</v>
      </c>
      <c r="G43" s="4" t="s">
        <v>38</v>
      </c>
      <c r="H43" s="4" t="s">
        <v>33</v>
      </c>
      <c r="I43" s="5" t="n">
        <v>37561</v>
      </c>
      <c r="J43" s="4" t="s">
        <v>19</v>
      </c>
      <c r="K43" s="4" t="s">
        <v>20</v>
      </c>
      <c r="L43" s="4" t="s">
        <v>21</v>
      </c>
    </row>
    <row r="44" customFormat="false" ht="12.8" hidden="false" customHeight="false" outlineLevel="0" collapsed="false">
      <c r="A44" s="2" t="str">
        <f aca="false">HYPERLINK("https://www.fabsurplus.com/sdi_catalog/salesItemDetails.do?id=79586")</f>
        <v>https://www.fabsurplus.com/sdi_catalog/salesItemDetails.do?id=79586</v>
      </c>
      <c r="B44" s="2" t="s">
        <v>171</v>
      </c>
      <c r="C44" s="2" t="s">
        <v>172</v>
      </c>
      <c r="D44" s="2" t="s">
        <v>173</v>
      </c>
      <c r="E44" s="2" t="s">
        <v>174</v>
      </c>
      <c r="F44" s="2" t="s">
        <v>16</v>
      </c>
      <c r="G44" s="2" t="s">
        <v>38</v>
      </c>
      <c r="H44" s="2" t="s">
        <v>33</v>
      </c>
      <c r="I44" s="3" t="n">
        <v>38504</v>
      </c>
      <c r="J44" s="2" t="s">
        <v>19</v>
      </c>
      <c r="K44" s="2" t="s">
        <v>20</v>
      </c>
      <c r="L44" s="2" t="s">
        <v>21</v>
      </c>
    </row>
    <row r="45" customFormat="false" ht="12.8" hidden="false" customHeight="false" outlineLevel="0" collapsed="false">
      <c r="A45" s="4" t="str">
        <f aca="false">HYPERLINK("https://www.fabsurplus.com/sdi_catalog/salesItemDetails.do?id=77666")</f>
        <v>https://www.fabsurplus.com/sdi_catalog/salesItemDetails.do?id=77666</v>
      </c>
      <c r="B45" s="4" t="s">
        <v>175</v>
      </c>
      <c r="C45" s="4" t="s">
        <v>176</v>
      </c>
      <c r="D45" s="4" t="s">
        <v>177</v>
      </c>
      <c r="E45" s="4" t="s">
        <v>178</v>
      </c>
      <c r="F45" s="4" t="s">
        <v>16</v>
      </c>
      <c r="G45" s="4"/>
      <c r="H45" s="4" t="s">
        <v>18</v>
      </c>
      <c r="I45" s="4"/>
      <c r="J45" s="4" t="s">
        <v>19</v>
      </c>
      <c r="K45" s="4" t="s">
        <v>20</v>
      </c>
      <c r="L45" s="4" t="s">
        <v>116</v>
      </c>
    </row>
    <row r="46" customFormat="false" ht="12.8" hidden="false" customHeight="false" outlineLevel="0" collapsed="false">
      <c r="A46" s="2" t="str">
        <f aca="false">HYPERLINK("https://www.fabsurplus.com/sdi_catalog/salesItemDetails.do?id=79394")</f>
        <v>https://www.fabsurplus.com/sdi_catalog/salesItemDetails.do?id=79394</v>
      </c>
      <c r="B46" s="2" t="s">
        <v>179</v>
      </c>
      <c r="C46" s="2" t="s">
        <v>180</v>
      </c>
      <c r="D46" s="2" t="s">
        <v>181</v>
      </c>
      <c r="E46" s="2" t="s">
        <v>182</v>
      </c>
      <c r="F46" s="2" t="s">
        <v>16</v>
      </c>
      <c r="G46" s="2" t="s">
        <v>183</v>
      </c>
      <c r="H46" s="2" t="s">
        <v>33</v>
      </c>
      <c r="I46" s="2"/>
      <c r="J46" s="2" t="s">
        <v>19</v>
      </c>
      <c r="K46" s="2" t="s">
        <v>20</v>
      </c>
      <c r="L46" s="2" t="s">
        <v>21</v>
      </c>
    </row>
    <row r="47" customFormat="false" ht="12.8" hidden="false" customHeight="false" outlineLevel="0" collapsed="false">
      <c r="A47" s="4" t="str">
        <f aca="false">HYPERLINK("https://www.fabsurplus.com/sdi_catalog/salesItemDetails.do?id=79395")</f>
        <v>https://www.fabsurplus.com/sdi_catalog/salesItemDetails.do?id=79395</v>
      </c>
      <c r="B47" s="4" t="s">
        <v>184</v>
      </c>
      <c r="C47" s="4" t="s">
        <v>180</v>
      </c>
      <c r="D47" s="4" t="s">
        <v>181</v>
      </c>
      <c r="E47" s="4" t="s">
        <v>182</v>
      </c>
      <c r="F47" s="4" t="s">
        <v>16</v>
      </c>
      <c r="G47" s="4" t="s">
        <v>183</v>
      </c>
      <c r="H47" s="4" t="s">
        <v>33</v>
      </c>
      <c r="I47" s="4"/>
      <c r="J47" s="4" t="s">
        <v>19</v>
      </c>
      <c r="K47" s="4" t="s">
        <v>20</v>
      </c>
      <c r="L47" s="4" t="s">
        <v>21</v>
      </c>
    </row>
    <row r="48" customFormat="false" ht="12.8" hidden="false" customHeight="false" outlineLevel="0" collapsed="false">
      <c r="A48" s="2" t="str">
        <f aca="false">HYPERLINK("https://www.fabsurplus.com/sdi_catalog/salesItemDetails.do?id=89967")</f>
        <v>https://www.fabsurplus.com/sdi_catalog/salesItemDetails.do?id=89967</v>
      </c>
      <c r="B48" s="2" t="s">
        <v>185</v>
      </c>
      <c r="C48" s="2" t="s">
        <v>180</v>
      </c>
      <c r="D48" s="2" t="s">
        <v>186</v>
      </c>
      <c r="E48" s="2" t="s">
        <v>187</v>
      </c>
      <c r="F48" s="2" t="s">
        <v>16</v>
      </c>
      <c r="G48" s="2" t="s">
        <v>183</v>
      </c>
      <c r="H48" s="2" t="s">
        <v>33</v>
      </c>
      <c r="I48" s="3" t="n">
        <v>35582</v>
      </c>
      <c r="J48" s="2" t="s">
        <v>19</v>
      </c>
      <c r="K48" s="2" t="s">
        <v>20</v>
      </c>
      <c r="L48" s="2" t="s">
        <v>21</v>
      </c>
    </row>
    <row r="49" customFormat="false" ht="12.8" hidden="false" customHeight="false" outlineLevel="0" collapsed="false">
      <c r="A49" s="4" t="str">
        <f aca="false">HYPERLINK("https://www.fabsurplus.com/sdi_catalog/salesItemDetails.do?id=95410")</f>
        <v>https://www.fabsurplus.com/sdi_catalog/salesItemDetails.do?id=95410</v>
      </c>
      <c r="B49" s="4" t="s">
        <v>188</v>
      </c>
      <c r="C49" s="4" t="s">
        <v>180</v>
      </c>
      <c r="D49" s="4" t="s">
        <v>189</v>
      </c>
      <c r="E49" s="4" t="s">
        <v>190</v>
      </c>
      <c r="F49" s="4" t="s">
        <v>16</v>
      </c>
      <c r="G49" s="4" t="s">
        <v>183</v>
      </c>
      <c r="H49" s="4" t="s">
        <v>18</v>
      </c>
      <c r="I49" s="5" t="n">
        <v>35217</v>
      </c>
      <c r="J49" s="4" t="s">
        <v>19</v>
      </c>
      <c r="K49" s="4" t="s">
        <v>20</v>
      </c>
      <c r="L49" s="4" t="s">
        <v>21</v>
      </c>
    </row>
    <row r="50" customFormat="false" ht="12.8" hidden="false" customHeight="false" outlineLevel="0" collapsed="false">
      <c r="A50" s="2" t="str">
        <f aca="false">HYPERLINK("https://www.fabsurplus.com/sdi_catalog/salesItemDetails.do?id=95411")</f>
        <v>https://www.fabsurplus.com/sdi_catalog/salesItemDetails.do?id=95411</v>
      </c>
      <c r="B50" s="2" t="s">
        <v>191</v>
      </c>
      <c r="C50" s="2" t="s">
        <v>180</v>
      </c>
      <c r="D50" s="2" t="s">
        <v>189</v>
      </c>
      <c r="E50" s="2" t="s">
        <v>190</v>
      </c>
      <c r="F50" s="2" t="s">
        <v>16</v>
      </c>
      <c r="G50" s="2" t="s">
        <v>183</v>
      </c>
      <c r="H50" s="2" t="s">
        <v>18</v>
      </c>
      <c r="I50" s="3" t="n">
        <v>35217</v>
      </c>
      <c r="J50" s="2" t="s">
        <v>19</v>
      </c>
      <c r="K50" s="2" t="s">
        <v>20</v>
      </c>
      <c r="L50" s="2" t="s">
        <v>21</v>
      </c>
    </row>
    <row r="51" customFormat="false" ht="12.8" hidden="false" customHeight="false" outlineLevel="0" collapsed="false">
      <c r="A51" s="4" t="str">
        <f aca="false">HYPERLINK("https://www.fabsurplus.com/sdi_catalog/salesItemDetails.do?id=95413")</f>
        <v>https://www.fabsurplus.com/sdi_catalog/salesItemDetails.do?id=95413</v>
      </c>
      <c r="B51" s="4" t="s">
        <v>192</v>
      </c>
      <c r="C51" s="4" t="s">
        <v>180</v>
      </c>
      <c r="D51" s="4" t="s">
        <v>186</v>
      </c>
      <c r="E51" s="4" t="s">
        <v>187</v>
      </c>
      <c r="F51" s="4" t="s">
        <v>16</v>
      </c>
      <c r="G51" s="4" t="s">
        <v>183</v>
      </c>
      <c r="H51" s="4" t="s">
        <v>33</v>
      </c>
      <c r="I51" s="5" t="n">
        <v>35582</v>
      </c>
      <c r="J51" s="4" t="s">
        <v>19</v>
      </c>
      <c r="K51" s="4" t="s">
        <v>20</v>
      </c>
      <c r="L51" s="4" t="s">
        <v>21</v>
      </c>
    </row>
    <row r="52" customFormat="false" ht="12.8" hidden="false" customHeight="false" outlineLevel="0" collapsed="false">
      <c r="A52" s="2" t="str">
        <f aca="false">HYPERLINK("https://www.fabsurplus.com/sdi_catalog/salesItemDetails.do?id=95414")</f>
        <v>https://www.fabsurplus.com/sdi_catalog/salesItemDetails.do?id=95414</v>
      </c>
      <c r="B52" s="2" t="s">
        <v>193</v>
      </c>
      <c r="C52" s="2" t="s">
        <v>180</v>
      </c>
      <c r="D52" s="2" t="s">
        <v>186</v>
      </c>
      <c r="E52" s="2" t="s">
        <v>187</v>
      </c>
      <c r="F52" s="2" t="s">
        <v>16</v>
      </c>
      <c r="G52" s="2" t="s">
        <v>183</v>
      </c>
      <c r="H52" s="2" t="s">
        <v>33</v>
      </c>
      <c r="I52" s="3" t="n">
        <v>35582</v>
      </c>
      <c r="J52" s="2" t="s">
        <v>19</v>
      </c>
      <c r="K52" s="2" t="s">
        <v>20</v>
      </c>
      <c r="L52" s="2" t="s">
        <v>21</v>
      </c>
    </row>
    <row r="53" customFormat="false" ht="12.8" hidden="false" customHeight="false" outlineLevel="0" collapsed="false">
      <c r="A53" s="4" t="str">
        <f aca="false">HYPERLINK("https://www.fabsurplus.com/sdi_catalog/salesItemDetails.do?id=95415")</f>
        <v>https://www.fabsurplus.com/sdi_catalog/salesItemDetails.do?id=95415</v>
      </c>
      <c r="B53" s="4" t="s">
        <v>194</v>
      </c>
      <c r="C53" s="4" t="s">
        <v>180</v>
      </c>
      <c r="D53" s="4" t="s">
        <v>186</v>
      </c>
      <c r="E53" s="4" t="s">
        <v>187</v>
      </c>
      <c r="F53" s="4" t="s">
        <v>16</v>
      </c>
      <c r="G53" s="4" t="s">
        <v>183</v>
      </c>
      <c r="H53" s="4" t="s">
        <v>33</v>
      </c>
      <c r="I53" s="5" t="n">
        <v>35582</v>
      </c>
      <c r="J53" s="4" t="s">
        <v>19</v>
      </c>
      <c r="K53" s="4" t="s">
        <v>20</v>
      </c>
      <c r="L53" s="4" t="s">
        <v>21</v>
      </c>
    </row>
    <row r="54" customFormat="false" ht="12.8" hidden="false" customHeight="false" outlineLevel="0" collapsed="false">
      <c r="A54" s="2" t="str">
        <f aca="false">HYPERLINK("https://www.fabsurplus.com/sdi_catalog/salesItemDetails.do?id=95416")</f>
        <v>https://www.fabsurplus.com/sdi_catalog/salesItemDetails.do?id=95416</v>
      </c>
      <c r="B54" s="2" t="s">
        <v>195</v>
      </c>
      <c r="C54" s="2" t="s">
        <v>180</v>
      </c>
      <c r="D54" s="2" t="s">
        <v>186</v>
      </c>
      <c r="E54" s="2" t="s">
        <v>187</v>
      </c>
      <c r="F54" s="2" t="s">
        <v>16</v>
      </c>
      <c r="G54" s="2" t="s">
        <v>183</v>
      </c>
      <c r="H54" s="2" t="s">
        <v>33</v>
      </c>
      <c r="I54" s="3" t="n">
        <v>35582</v>
      </c>
      <c r="J54" s="2" t="s">
        <v>19</v>
      </c>
      <c r="K54" s="2" t="s">
        <v>20</v>
      </c>
      <c r="L54" s="2" t="s">
        <v>21</v>
      </c>
    </row>
    <row r="55" customFormat="false" ht="12.8" hidden="false" customHeight="false" outlineLevel="0" collapsed="false">
      <c r="A55" s="4" t="str">
        <f aca="false">HYPERLINK("https://www.fabsurplus.com/sdi_catalog/salesItemDetails.do?id=95417")</f>
        <v>https://www.fabsurplus.com/sdi_catalog/salesItemDetails.do?id=95417</v>
      </c>
      <c r="B55" s="4" t="s">
        <v>196</v>
      </c>
      <c r="C55" s="4" t="s">
        <v>180</v>
      </c>
      <c r="D55" s="4" t="s">
        <v>186</v>
      </c>
      <c r="E55" s="4" t="s">
        <v>187</v>
      </c>
      <c r="F55" s="4" t="s">
        <v>16</v>
      </c>
      <c r="G55" s="4" t="s">
        <v>183</v>
      </c>
      <c r="H55" s="4" t="s">
        <v>33</v>
      </c>
      <c r="I55" s="5" t="n">
        <v>35582</v>
      </c>
      <c r="J55" s="4" t="s">
        <v>19</v>
      </c>
      <c r="K55" s="4" t="s">
        <v>20</v>
      </c>
      <c r="L55" s="4" t="s">
        <v>21</v>
      </c>
    </row>
    <row r="56" customFormat="false" ht="12.8" hidden="false" customHeight="false" outlineLevel="0" collapsed="false">
      <c r="A56" s="2" t="str">
        <f aca="false">HYPERLINK("https://www.fabsurplus.com/sdi_catalog/salesItemDetails.do?id=95418")</f>
        <v>https://www.fabsurplus.com/sdi_catalog/salesItemDetails.do?id=95418</v>
      </c>
      <c r="B56" s="2" t="s">
        <v>197</v>
      </c>
      <c r="C56" s="2" t="s">
        <v>180</v>
      </c>
      <c r="D56" s="2" t="s">
        <v>186</v>
      </c>
      <c r="E56" s="2" t="s">
        <v>187</v>
      </c>
      <c r="F56" s="2" t="s">
        <v>16</v>
      </c>
      <c r="G56" s="2" t="s">
        <v>183</v>
      </c>
      <c r="H56" s="2" t="s">
        <v>33</v>
      </c>
      <c r="I56" s="3" t="n">
        <v>35582</v>
      </c>
      <c r="J56" s="2" t="s">
        <v>19</v>
      </c>
      <c r="K56" s="2" t="s">
        <v>20</v>
      </c>
      <c r="L56" s="2" t="s">
        <v>21</v>
      </c>
    </row>
    <row r="57" customFormat="false" ht="12.8" hidden="false" customHeight="false" outlineLevel="0" collapsed="false">
      <c r="A57" s="4" t="str">
        <f aca="false">HYPERLINK("https://www.fabsurplus.com/sdi_catalog/salesItemDetails.do?id=95419")</f>
        <v>https://www.fabsurplus.com/sdi_catalog/salesItemDetails.do?id=95419</v>
      </c>
      <c r="B57" s="4" t="s">
        <v>198</v>
      </c>
      <c r="C57" s="4" t="s">
        <v>180</v>
      </c>
      <c r="D57" s="4" t="s">
        <v>199</v>
      </c>
      <c r="E57" s="4" t="s">
        <v>190</v>
      </c>
      <c r="F57" s="4" t="s">
        <v>16</v>
      </c>
      <c r="G57" s="4" t="s">
        <v>183</v>
      </c>
      <c r="H57" s="4" t="s">
        <v>18</v>
      </c>
      <c r="I57" s="5" t="n">
        <v>35582</v>
      </c>
      <c r="J57" s="4" t="s">
        <v>19</v>
      </c>
      <c r="K57" s="4" t="s">
        <v>20</v>
      </c>
      <c r="L57" s="4" t="s">
        <v>21</v>
      </c>
    </row>
    <row r="58" customFormat="false" ht="12.8" hidden="false" customHeight="false" outlineLevel="0" collapsed="false">
      <c r="A58" s="2" t="str">
        <f aca="false">HYPERLINK("https://www.fabsurplus.com/sdi_catalog/salesItemDetails.do?id=95420")</f>
        <v>https://www.fabsurplus.com/sdi_catalog/salesItemDetails.do?id=95420</v>
      </c>
      <c r="B58" s="2" t="s">
        <v>200</v>
      </c>
      <c r="C58" s="2" t="s">
        <v>180</v>
      </c>
      <c r="D58" s="2" t="s">
        <v>199</v>
      </c>
      <c r="E58" s="2" t="s">
        <v>190</v>
      </c>
      <c r="F58" s="2" t="s">
        <v>16</v>
      </c>
      <c r="G58" s="2" t="s">
        <v>183</v>
      </c>
      <c r="H58" s="2" t="s">
        <v>18</v>
      </c>
      <c r="I58" s="3" t="n">
        <v>35582</v>
      </c>
      <c r="J58" s="2" t="s">
        <v>19</v>
      </c>
      <c r="K58" s="2" t="s">
        <v>20</v>
      </c>
      <c r="L58" s="2" t="s">
        <v>21</v>
      </c>
    </row>
    <row r="59" customFormat="false" ht="12.8" hidden="false" customHeight="false" outlineLevel="0" collapsed="false">
      <c r="A59" s="4" t="str">
        <f aca="false">HYPERLINK("https://www.fabsurplus.com/sdi_catalog/salesItemDetails.do?id=95421")</f>
        <v>https://www.fabsurplus.com/sdi_catalog/salesItemDetails.do?id=95421</v>
      </c>
      <c r="B59" s="4" t="s">
        <v>201</v>
      </c>
      <c r="C59" s="4" t="s">
        <v>180</v>
      </c>
      <c r="D59" s="4" t="s">
        <v>189</v>
      </c>
      <c r="E59" s="4" t="s">
        <v>190</v>
      </c>
      <c r="F59" s="4" t="s">
        <v>16</v>
      </c>
      <c r="G59" s="4" t="s">
        <v>183</v>
      </c>
      <c r="H59" s="4" t="s">
        <v>18</v>
      </c>
      <c r="I59" s="5" t="n">
        <v>35582</v>
      </c>
      <c r="J59" s="4" t="s">
        <v>19</v>
      </c>
      <c r="K59" s="4" t="s">
        <v>20</v>
      </c>
      <c r="L59" s="4" t="s">
        <v>21</v>
      </c>
    </row>
    <row r="60" customFormat="false" ht="12.8" hidden="false" customHeight="false" outlineLevel="0" collapsed="false">
      <c r="A60" s="2" t="str">
        <f aca="false">HYPERLINK("https://www.fabsurplus.com/sdi_catalog/salesItemDetails.do?id=80052")</f>
        <v>https://www.fabsurplus.com/sdi_catalog/salesItemDetails.do?id=80052</v>
      </c>
      <c r="B60" s="2" t="s">
        <v>202</v>
      </c>
      <c r="C60" s="2" t="s">
        <v>203</v>
      </c>
      <c r="D60" s="2" t="s">
        <v>204</v>
      </c>
      <c r="E60" s="2" t="s">
        <v>205</v>
      </c>
      <c r="F60" s="2" t="s">
        <v>16</v>
      </c>
      <c r="G60" s="2" t="s">
        <v>206</v>
      </c>
      <c r="H60" s="2" t="s">
        <v>33</v>
      </c>
      <c r="I60" s="2"/>
      <c r="J60" s="2" t="s">
        <v>19</v>
      </c>
      <c r="K60" s="2" t="s">
        <v>20</v>
      </c>
      <c r="L60" s="2" t="s">
        <v>21</v>
      </c>
    </row>
    <row r="61" customFormat="false" ht="12.8" hidden="false" customHeight="false" outlineLevel="0" collapsed="false">
      <c r="A61" s="4" t="str">
        <f aca="false">HYPERLINK("https://www.fabsurplus.com/sdi_catalog/salesItemDetails.do?id=54217")</f>
        <v>https://www.fabsurplus.com/sdi_catalog/salesItemDetails.do?id=54217</v>
      </c>
      <c r="B61" s="4" t="s">
        <v>207</v>
      </c>
      <c r="C61" s="4" t="s">
        <v>208</v>
      </c>
      <c r="D61" s="4" t="s">
        <v>209</v>
      </c>
      <c r="E61" s="4" t="s">
        <v>210</v>
      </c>
      <c r="F61" s="4" t="s">
        <v>211</v>
      </c>
      <c r="G61" s="4" t="s">
        <v>212</v>
      </c>
      <c r="H61" s="4" t="s">
        <v>18</v>
      </c>
      <c r="I61" s="5" t="n">
        <v>39173</v>
      </c>
      <c r="J61" s="4" t="s">
        <v>19</v>
      </c>
      <c r="K61" s="4" t="s">
        <v>20</v>
      </c>
      <c r="L61" s="4" t="s">
        <v>213</v>
      </c>
    </row>
    <row r="62" customFormat="false" ht="12.8" hidden="false" customHeight="false" outlineLevel="0" collapsed="false">
      <c r="A62" s="2" t="str">
        <f aca="false">HYPERLINK("https://www.fabsurplus.com/sdi_catalog/salesItemDetails.do?id=54218")</f>
        <v>https://www.fabsurplus.com/sdi_catalog/salesItemDetails.do?id=54218</v>
      </c>
      <c r="B62" s="2" t="s">
        <v>214</v>
      </c>
      <c r="C62" s="2" t="s">
        <v>208</v>
      </c>
      <c r="D62" s="2" t="s">
        <v>209</v>
      </c>
      <c r="E62" s="2" t="s">
        <v>210</v>
      </c>
      <c r="F62" s="2" t="s">
        <v>16</v>
      </c>
      <c r="G62" s="2" t="s">
        <v>212</v>
      </c>
      <c r="H62" s="2" t="s">
        <v>18</v>
      </c>
      <c r="I62" s="3" t="n">
        <v>39173</v>
      </c>
      <c r="J62" s="2" t="s">
        <v>19</v>
      </c>
      <c r="K62" s="2" t="s">
        <v>20</v>
      </c>
      <c r="L62" s="2" t="s">
        <v>213</v>
      </c>
    </row>
    <row r="63" customFormat="false" ht="12.8" hidden="false" customHeight="false" outlineLevel="0" collapsed="false">
      <c r="A63" s="4" t="str">
        <f aca="false">HYPERLINK("https://www.fabsurplus.com/sdi_catalog/salesItemDetails.do?id=54219")</f>
        <v>https://www.fabsurplus.com/sdi_catalog/salesItemDetails.do?id=54219</v>
      </c>
      <c r="B63" s="4" t="s">
        <v>215</v>
      </c>
      <c r="C63" s="4" t="s">
        <v>208</v>
      </c>
      <c r="D63" s="4" t="s">
        <v>209</v>
      </c>
      <c r="E63" s="4" t="s">
        <v>210</v>
      </c>
      <c r="F63" s="4" t="s">
        <v>16</v>
      </c>
      <c r="G63" s="4" t="s">
        <v>212</v>
      </c>
      <c r="H63" s="4" t="s">
        <v>18</v>
      </c>
      <c r="I63" s="5" t="n">
        <v>39173</v>
      </c>
      <c r="J63" s="4"/>
      <c r="K63" s="4" t="s">
        <v>20</v>
      </c>
      <c r="L63" s="4" t="s">
        <v>213</v>
      </c>
    </row>
    <row r="64" customFormat="false" ht="12.8" hidden="false" customHeight="false" outlineLevel="0" collapsed="false">
      <c r="A64" s="2" t="str">
        <f aca="false">HYPERLINK("https://www.fabsurplus.com/sdi_catalog/salesItemDetails.do?id=54220")</f>
        <v>https://www.fabsurplus.com/sdi_catalog/salesItemDetails.do?id=54220</v>
      </c>
      <c r="B64" s="2" t="s">
        <v>216</v>
      </c>
      <c r="C64" s="2" t="s">
        <v>208</v>
      </c>
      <c r="D64" s="2" t="s">
        <v>217</v>
      </c>
      <c r="E64" s="2" t="s">
        <v>210</v>
      </c>
      <c r="F64" s="2" t="s">
        <v>16</v>
      </c>
      <c r="G64" s="2" t="s">
        <v>212</v>
      </c>
      <c r="H64" s="2" t="s">
        <v>18</v>
      </c>
      <c r="I64" s="3" t="n">
        <v>36678</v>
      </c>
      <c r="J64" s="2" t="s">
        <v>19</v>
      </c>
      <c r="K64" s="2" t="s">
        <v>20</v>
      </c>
      <c r="L64" s="2" t="s">
        <v>213</v>
      </c>
    </row>
    <row r="65" customFormat="false" ht="12.8" hidden="false" customHeight="false" outlineLevel="0" collapsed="false">
      <c r="A65" s="4" t="str">
        <f aca="false">HYPERLINK("https://www.fabsurplus.com/sdi_catalog/salesItemDetails.do?id=54221")</f>
        <v>https://www.fabsurplus.com/sdi_catalog/salesItemDetails.do?id=54221</v>
      </c>
      <c r="B65" s="4" t="s">
        <v>218</v>
      </c>
      <c r="C65" s="4" t="s">
        <v>208</v>
      </c>
      <c r="D65" s="4" t="s">
        <v>217</v>
      </c>
      <c r="E65" s="4" t="s">
        <v>210</v>
      </c>
      <c r="F65" s="4" t="s">
        <v>16</v>
      </c>
      <c r="G65" s="4" t="s">
        <v>212</v>
      </c>
      <c r="H65" s="4" t="s">
        <v>18</v>
      </c>
      <c r="I65" s="5" t="n">
        <v>36678</v>
      </c>
      <c r="J65" s="4" t="s">
        <v>19</v>
      </c>
      <c r="K65" s="4" t="s">
        <v>20</v>
      </c>
      <c r="L65" s="4" t="s">
        <v>213</v>
      </c>
    </row>
    <row r="66" customFormat="false" ht="12.8" hidden="false" customHeight="false" outlineLevel="0" collapsed="false">
      <c r="A66" s="2" t="str">
        <f aca="false">HYPERLINK("https://www.fabsurplus.com/sdi_catalog/salesItemDetails.do?id=54222")</f>
        <v>https://www.fabsurplus.com/sdi_catalog/salesItemDetails.do?id=54222</v>
      </c>
      <c r="B66" s="2" t="s">
        <v>219</v>
      </c>
      <c r="C66" s="2" t="s">
        <v>208</v>
      </c>
      <c r="D66" s="2" t="s">
        <v>220</v>
      </c>
      <c r="E66" s="2" t="s">
        <v>221</v>
      </c>
      <c r="F66" s="2" t="s">
        <v>16</v>
      </c>
      <c r="G66" s="2" t="s">
        <v>212</v>
      </c>
      <c r="H66" s="2" t="s">
        <v>18</v>
      </c>
      <c r="I66" s="3" t="n">
        <v>36678</v>
      </c>
      <c r="J66" s="2" t="s">
        <v>19</v>
      </c>
      <c r="K66" s="2" t="s">
        <v>20</v>
      </c>
      <c r="L66" s="2" t="s">
        <v>213</v>
      </c>
    </row>
    <row r="67" customFormat="false" ht="12.8" hidden="false" customHeight="false" outlineLevel="0" collapsed="false">
      <c r="A67" s="4" t="str">
        <f aca="false">HYPERLINK("https://www.fabsurplus.com/sdi_catalog/salesItemDetails.do?id=81822")</f>
        <v>https://www.fabsurplus.com/sdi_catalog/salesItemDetails.do?id=81822</v>
      </c>
      <c r="B67" s="4" t="s">
        <v>222</v>
      </c>
      <c r="C67" s="4" t="s">
        <v>208</v>
      </c>
      <c r="D67" s="4" t="s">
        <v>223</v>
      </c>
      <c r="E67" s="4" t="s">
        <v>224</v>
      </c>
      <c r="F67" s="4" t="s">
        <v>16</v>
      </c>
      <c r="G67" s="4" t="s">
        <v>183</v>
      </c>
      <c r="H67" s="4" t="s">
        <v>18</v>
      </c>
      <c r="I67" s="5" t="n">
        <v>32660</v>
      </c>
      <c r="J67" s="4" t="s">
        <v>19</v>
      </c>
      <c r="K67" s="4" t="s">
        <v>20</v>
      </c>
      <c r="L67" s="4" t="s">
        <v>39</v>
      </c>
    </row>
    <row r="68" customFormat="false" ht="12.8" hidden="false" customHeight="false" outlineLevel="0" collapsed="false">
      <c r="A68" s="2" t="str">
        <f aca="false">HYPERLINK("https://www.fabsurplus.com/sdi_catalog/salesItemDetails.do?id=89969")</f>
        <v>https://www.fabsurplus.com/sdi_catalog/salesItemDetails.do?id=89969</v>
      </c>
      <c r="B68" s="2" t="s">
        <v>225</v>
      </c>
      <c r="C68" s="2" t="s">
        <v>208</v>
      </c>
      <c r="D68" s="2" t="s">
        <v>226</v>
      </c>
      <c r="E68" s="2" t="s">
        <v>227</v>
      </c>
      <c r="F68" s="2" t="s">
        <v>16</v>
      </c>
      <c r="G68" s="2" t="s">
        <v>228</v>
      </c>
      <c r="H68" s="2" t="s">
        <v>18</v>
      </c>
      <c r="I68" s="3" t="n">
        <v>35217</v>
      </c>
      <c r="J68" s="2" t="s">
        <v>19</v>
      </c>
      <c r="K68" s="2" t="s">
        <v>20</v>
      </c>
      <c r="L68" s="2" t="s">
        <v>21</v>
      </c>
    </row>
    <row r="69" customFormat="false" ht="12.8" hidden="false" customHeight="false" outlineLevel="0" collapsed="false">
      <c r="A69" s="4" t="str">
        <f aca="false">HYPERLINK("https://www.fabsurplus.com/sdi_catalog/salesItemDetails.do?id=95412")</f>
        <v>https://www.fabsurplus.com/sdi_catalog/salesItemDetails.do?id=95412</v>
      </c>
      <c r="B69" s="4" t="s">
        <v>229</v>
      </c>
      <c r="C69" s="4" t="s">
        <v>208</v>
      </c>
      <c r="D69" s="4" t="s">
        <v>226</v>
      </c>
      <c r="E69" s="4" t="s">
        <v>227</v>
      </c>
      <c r="F69" s="4" t="s">
        <v>16</v>
      </c>
      <c r="G69" s="4" t="s">
        <v>228</v>
      </c>
      <c r="H69" s="4" t="s">
        <v>18</v>
      </c>
      <c r="I69" s="5" t="n">
        <v>35217</v>
      </c>
      <c r="J69" s="4" t="s">
        <v>19</v>
      </c>
      <c r="K69" s="4" t="s">
        <v>20</v>
      </c>
      <c r="L69" s="4" t="s">
        <v>21</v>
      </c>
    </row>
    <row r="70" customFormat="false" ht="12.8" hidden="false" customHeight="false" outlineLevel="0" collapsed="false">
      <c r="A70" s="2" t="str">
        <f aca="false">HYPERLINK("https://www.fabsurplus.com/sdi_catalog/salesItemDetails.do?id=95559")</f>
        <v>https://www.fabsurplus.com/sdi_catalog/salesItemDetails.do?id=95559</v>
      </c>
      <c r="B70" s="2" t="s">
        <v>230</v>
      </c>
      <c r="C70" s="2" t="s">
        <v>208</v>
      </c>
      <c r="D70" s="2" t="s">
        <v>231</v>
      </c>
      <c r="E70" s="2" t="s">
        <v>232</v>
      </c>
      <c r="F70" s="2" t="s">
        <v>16</v>
      </c>
      <c r="G70" s="2" t="s">
        <v>183</v>
      </c>
      <c r="H70" s="2" t="s">
        <v>33</v>
      </c>
      <c r="I70" s="3" t="n">
        <v>36678</v>
      </c>
      <c r="J70" s="2" t="s">
        <v>19</v>
      </c>
      <c r="K70" s="2" t="s">
        <v>20</v>
      </c>
      <c r="L70" s="2" t="s">
        <v>21</v>
      </c>
    </row>
    <row r="71" customFormat="false" ht="12.8" hidden="false" customHeight="false" outlineLevel="0" collapsed="false">
      <c r="A71" s="4" t="str">
        <f aca="false">HYPERLINK("https://www.fabsurplus.com/sdi_catalog/salesItemDetails.do?id=78132")</f>
        <v>https://www.fabsurplus.com/sdi_catalog/salesItemDetails.do?id=78132</v>
      </c>
      <c r="B71" s="4" t="s">
        <v>233</v>
      </c>
      <c r="C71" s="4" t="s">
        <v>234</v>
      </c>
      <c r="D71" s="4" t="s">
        <v>235</v>
      </c>
      <c r="E71" s="4" t="s">
        <v>236</v>
      </c>
      <c r="F71" s="4" t="s">
        <v>16</v>
      </c>
      <c r="G71" s="4" t="s">
        <v>32</v>
      </c>
      <c r="H71" s="4" t="s">
        <v>18</v>
      </c>
      <c r="I71" s="5" t="n">
        <v>35827</v>
      </c>
      <c r="J71" s="4" t="s">
        <v>19</v>
      </c>
      <c r="K71" s="4" t="s">
        <v>20</v>
      </c>
      <c r="L71" s="4" t="s">
        <v>21</v>
      </c>
    </row>
    <row r="72" customFormat="false" ht="12.8" hidden="false" customHeight="false" outlineLevel="0" collapsed="false">
      <c r="A72" s="2" t="str">
        <f aca="false">HYPERLINK("https://www.fabsurplus.com/sdi_catalog/salesItemDetails.do?id=92047")</f>
        <v>https://www.fabsurplus.com/sdi_catalog/salesItemDetails.do?id=92047</v>
      </c>
      <c r="B72" s="2" t="s">
        <v>237</v>
      </c>
      <c r="C72" s="2" t="s">
        <v>238</v>
      </c>
      <c r="D72" s="2" t="s">
        <v>239</v>
      </c>
      <c r="E72" s="2" t="s">
        <v>240</v>
      </c>
      <c r="F72" s="2" t="s">
        <v>16</v>
      </c>
      <c r="G72" s="2" t="s">
        <v>206</v>
      </c>
      <c r="H72" s="2" t="s">
        <v>33</v>
      </c>
      <c r="I72" s="3" t="n">
        <v>40695</v>
      </c>
      <c r="J72" s="2" t="s">
        <v>19</v>
      </c>
      <c r="K72" s="2" t="s">
        <v>20</v>
      </c>
      <c r="L72" s="2" t="s">
        <v>21</v>
      </c>
    </row>
    <row r="73" customFormat="false" ht="12.8" hidden="false" customHeight="false" outlineLevel="0" collapsed="false">
      <c r="A73" s="4" t="str">
        <f aca="false">HYPERLINK("https://www.fabsurplus.com/sdi_catalog/salesItemDetails.do?id=79596")</f>
        <v>https://www.fabsurplus.com/sdi_catalog/salesItemDetails.do?id=79596</v>
      </c>
      <c r="B73" s="4" t="s">
        <v>241</v>
      </c>
      <c r="C73" s="4" t="s">
        <v>242</v>
      </c>
      <c r="D73" s="4" t="s">
        <v>243</v>
      </c>
      <c r="E73" s="4" t="s">
        <v>244</v>
      </c>
      <c r="F73" s="4" t="s">
        <v>245</v>
      </c>
      <c r="G73" s="4" t="s">
        <v>59</v>
      </c>
      <c r="H73" s="4" t="s">
        <v>33</v>
      </c>
      <c r="I73" s="5" t="n">
        <v>36678</v>
      </c>
      <c r="J73" s="4" t="s">
        <v>19</v>
      </c>
      <c r="K73" s="4" t="s">
        <v>20</v>
      </c>
      <c r="L73" s="4" t="s">
        <v>21</v>
      </c>
    </row>
    <row r="74" customFormat="false" ht="12.8" hidden="false" customHeight="false" outlineLevel="0" collapsed="false">
      <c r="A74" s="2" t="str">
        <f aca="false">HYPERLINK("https://www.fabsurplus.com/sdi_catalog/salesItemDetails.do?id=79885")</f>
        <v>https://www.fabsurplus.com/sdi_catalog/salesItemDetails.do?id=79885</v>
      </c>
      <c r="B74" s="2" t="s">
        <v>246</v>
      </c>
      <c r="C74" s="2" t="s">
        <v>242</v>
      </c>
      <c r="D74" s="2" t="s">
        <v>247</v>
      </c>
      <c r="E74" s="2" t="s">
        <v>248</v>
      </c>
      <c r="F74" s="2" t="s">
        <v>16</v>
      </c>
      <c r="G74" s="2" t="s">
        <v>59</v>
      </c>
      <c r="H74" s="2" t="s">
        <v>18</v>
      </c>
      <c r="I74" s="2"/>
      <c r="J74" s="2" t="s">
        <v>19</v>
      </c>
      <c r="K74" s="2" t="s">
        <v>20</v>
      </c>
      <c r="L74" s="2" t="s">
        <v>21</v>
      </c>
    </row>
    <row r="75" customFormat="false" ht="12.8" hidden="false" customHeight="false" outlineLevel="0" collapsed="false">
      <c r="A75" s="4" t="str">
        <f aca="false">HYPERLINK("https://www.fabsurplus.com/sdi_catalog/salesItemDetails.do?id=79887")</f>
        <v>https://www.fabsurplus.com/sdi_catalog/salesItemDetails.do?id=79887</v>
      </c>
      <c r="B75" s="4" t="s">
        <v>249</v>
      </c>
      <c r="C75" s="4" t="s">
        <v>250</v>
      </c>
      <c r="D75" s="4" t="s">
        <v>251</v>
      </c>
      <c r="E75" s="4" t="s">
        <v>252</v>
      </c>
      <c r="F75" s="4" t="s">
        <v>16</v>
      </c>
      <c r="G75" s="4" t="s">
        <v>253</v>
      </c>
      <c r="H75" s="4" t="s">
        <v>33</v>
      </c>
      <c r="I75" s="5" t="n">
        <v>34851</v>
      </c>
      <c r="J75" s="4" t="s">
        <v>19</v>
      </c>
      <c r="K75" s="4" t="s">
        <v>20</v>
      </c>
      <c r="L75" s="4" t="s">
        <v>21</v>
      </c>
    </row>
    <row r="76" customFormat="false" ht="12.8" hidden="false" customHeight="false" outlineLevel="0" collapsed="false">
      <c r="A76" s="2" t="str">
        <f aca="false">HYPERLINK("https://www.fabsurplus.com/sdi_catalog/salesItemDetails.do?id=83513")</f>
        <v>https://www.fabsurplus.com/sdi_catalog/salesItemDetails.do?id=83513</v>
      </c>
      <c r="B76" s="2" t="s">
        <v>254</v>
      </c>
      <c r="C76" s="2" t="s">
        <v>255</v>
      </c>
      <c r="D76" s="2" t="s">
        <v>256</v>
      </c>
      <c r="E76" s="2" t="s">
        <v>257</v>
      </c>
      <c r="F76" s="2" t="s">
        <v>16</v>
      </c>
      <c r="G76" s="2" t="s">
        <v>228</v>
      </c>
      <c r="H76" s="2" t="s">
        <v>33</v>
      </c>
      <c r="I76" s="3" t="n">
        <v>40391</v>
      </c>
      <c r="J76" s="2" t="s">
        <v>19</v>
      </c>
      <c r="K76" s="2" t="s">
        <v>20</v>
      </c>
      <c r="L76" s="2" t="s">
        <v>258</v>
      </c>
    </row>
    <row r="77" customFormat="false" ht="12.8" hidden="false" customHeight="false" outlineLevel="0" collapsed="false">
      <c r="A77" s="4" t="str">
        <f aca="false">HYPERLINK("https://www.fabsurplus.com/sdi_catalog/salesItemDetails.do?id=83739")</f>
        <v>https://www.fabsurplus.com/sdi_catalog/salesItemDetails.do?id=83739</v>
      </c>
      <c r="B77" s="4" t="s">
        <v>259</v>
      </c>
      <c r="C77" s="4" t="s">
        <v>260</v>
      </c>
      <c r="D77" s="4" t="s">
        <v>261</v>
      </c>
      <c r="E77" s="4" t="s">
        <v>262</v>
      </c>
      <c r="F77" s="4" t="s">
        <v>16</v>
      </c>
      <c r="G77" s="4" t="s">
        <v>263</v>
      </c>
      <c r="H77" s="4" t="s">
        <v>33</v>
      </c>
      <c r="I77" s="4"/>
      <c r="J77" s="4" t="s">
        <v>19</v>
      </c>
      <c r="K77" s="4" t="s">
        <v>20</v>
      </c>
      <c r="L77" s="4" t="s">
        <v>116</v>
      </c>
    </row>
    <row r="78" customFormat="false" ht="12.8" hidden="false" customHeight="false" outlineLevel="0" collapsed="false">
      <c r="A78" s="2" t="str">
        <f aca="false">HYPERLINK("https://www.fabsurplus.com/sdi_catalog/salesItemDetails.do?id=83515")</f>
        <v>https://www.fabsurplus.com/sdi_catalog/salesItemDetails.do?id=83515</v>
      </c>
      <c r="B78" s="2" t="s">
        <v>264</v>
      </c>
      <c r="C78" s="2" t="s">
        <v>265</v>
      </c>
      <c r="D78" s="2" t="s">
        <v>266</v>
      </c>
      <c r="E78" s="2" t="s">
        <v>267</v>
      </c>
      <c r="F78" s="2" t="s">
        <v>16</v>
      </c>
      <c r="G78" s="2" t="s">
        <v>228</v>
      </c>
      <c r="H78" s="2" t="s">
        <v>33</v>
      </c>
      <c r="I78" s="3" t="n">
        <v>38139</v>
      </c>
      <c r="J78" s="2" t="s">
        <v>19</v>
      </c>
      <c r="K78" s="2" t="s">
        <v>20</v>
      </c>
      <c r="L78" s="2" t="s">
        <v>268</v>
      </c>
    </row>
    <row r="79" customFormat="false" ht="12.8" hidden="false" customHeight="false" outlineLevel="0" collapsed="false">
      <c r="A79" s="4" t="str">
        <f aca="false">HYPERLINK("https://www.fabsurplus.com/sdi_catalog/salesItemDetails.do?id=1557")</f>
        <v>https://www.fabsurplus.com/sdi_catalog/salesItemDetails.do?id=1557</v>
      </c>
      <c r="B79" s="4" t="s">
        <v>269</v>
      </c>
      <c r="C79" s="4" t="s">
        <v>270</v>
      </c>
      <c r="D79" s="4" t="s">
        <v>271</v>
      </c>
      <c r="E79" s="4" t="s">
        <v>272</v>
      </c>
      <c r="F79" s="4" t="s">
        <v>16</v>
      </c>
      <c r="G79" s="4" t="s">
        <v>273</v>
      </c>
      <c r="H79" s="4" t="s">
        <v>18</v>
      </c>
      <c r="I79" s="5" t="n">
        <v>33756</v>
      </c>
      <c r="J79" s="4" t="s">
        <v>19</v>
      </c>
      <c r="K79" s="4" t="s">
        <v>20</v>
      </c>
      <c r="L79" s="4" t="s">
        <v>21</v>
      </c>
    </row>
    <row r="80" customFormat="false" ht="12.8" hidden="false" customHeight="false" outlineLevel="0" collapsed="false">
      <c r="A80" s="2" t="str">
        <f aca="false">HYPERLINK("https://www.fabsurplus.com/sdi_catalog/salesItemDetails.do?id=95405")</f>
        <v>https://www.fabsurplus.com/sdi_catalog/salesItemDetails.do?id=95405</v>
      </c>
      <c r="B80" s="2" t="s">
        <v>274</v>
      </c>
      <c r="C80" s="2" t="s">
        <v>275</v>
      </c>
      <c r="D80" s="2" t="s">
        <v>271</v>
      </c>
      <c r="E80" s="2" t="s">
        <v>272</v>
      </c>
      <c r="F80" s="2" t="s">
        <v>16</v>
      </c>
      <c r="G80" s="2" t="s">
        <v>273</v>
      </c>
      <c r="H80" s="2" t="s">
        <v>18</v>
      </c>
      <c r="I80" s="3" t="n">
        <v>33756</v>
      </c>
      <c r="J80" s="2" t="s">
        <v>19</v>
      </c>
      <c r="K80" s="2" t="s">
        <v>20</v>
      </c>
      <c r="L80" s="2" t="s">
        <v>21</v>
      </c>
    </row>
    <row r="81" customFormat="false" ht="12.8" hidden="false" customHeight="false" outlineLevel="0" collapsed="false">
      <c r="A81" s="4" t="str">
        <f aca="false">HYPERLINK("https://www.fabsurplus.com/sdi_catalog/salesItemDetails.do?id=83516")</f>
        <v>https://www.fabsurplus.com/sdi_catalog/salesItemDetails.do?id=83516</v>
      </c>
      <c r="B81" s="4" t="s">
        <v>276</v>
      </c>
      <c r="C81" s="4" t="s">
        <v>277</v>
      </c>
      <c r="D81" s="4" t="s">
        <v>278</v>
      </c>
      <c r="E81" s="4" t="s">
        <v>279</v>
      </c>
      <c r="F81" s="4" t="s">
        <v>16</v>
      </c>
      <c r="G81" s="4" t="s">
        <v>53</v>
      </c>
      <c r="H81" s="4" t="s">
        <v>18</v>
      </c>
      <c r="I81" s="5" t="n">
        <v>36678</v>
      </c>
      <c r="J81" s="4" t="s">
        <v>19</v>
      </c>
      <c r="K81" s="4" t="s">
        <v>20</v>
      </c>
      <c r="L81" s="4"/>
    </row>
    <row r="82" customFormat="false" ht="12.8" hidden="false" customHeight="false" outlineLevel="0" collapsed="false">
      <c r="A82" s="2" t="str">
        <f aca="false">HYPERLINK("https://www.fabsurplus.com/sdi_catalog/salesItemDetails.do?id=79600")</f>
        <v>https://www.fabsurplus.com/sdi_catalog/salesItemDetails.do?id=79600</v>
      </c>
      <c r="B82" s="2" t="s">
        <v>280</v>
      </c>
      <c r="C82" s="2" t="s">
        <v>281</v>
      </c>
      <c r="D82" s="2" t="s">
        <v>282</v>
      </c>
      <c r="E82" s="2" t="s">
        <v>283</v>
      </c>
      <c r="F82" s="2" t="s">
        <v>16</v>
      </c>
      <c r="G82" s="2" t="s">
        <v>284</v>
      </c>
      <c r="H82" s="2" t="s">
        <v>18</v>
      </c>
      <c r="I82" s="3" t="n">
        <v>36678</v>
      </c>
      <c r="J82" s="2" t="s">
        <v>19</v>
      </c>
      <c r="K82" s="2" t="s">
        <v>20</v>
      </c>
      <c r="L82" s="2" t="s">
        <v>285</v>
      </c>
    </row>
    <row r="83" customFormat="false" ht="12.8" hidden="false" customHeight="false" outlineLevel="0" collapsed="false">
      <c r="A83" s="4" t="str">
        <f aca="false">HYPERLINK("https://www.fabsurplus.com/sdi_catalog/salesItemDetails.do?id=95406")</f>
        <v>https://www.fabsurplus.com/sdi_catalog/salesItemDetails.do?id=95406</v>
      </c>
      <c r="B83" s="4" t="s">
        <v>286</v>
      </c>
      <c r="C83" s="4" t="s">
        <v>281</v>
      </c>
      <c r="D83" s="4" t="s">
        <v>282</v>
      </c>
      <c r="E83" s="4" t="s">
        <v>283</v>
      </c>
      <c r="F83" s="4" t="s">
        <v>16</v>
      </c>
      <c r="G83" s="4" t="s">
        <v>284</v>
      </c>
      <c r="H83" s="4" t="s">
        <v>18</v>
      </c>
      <c r="I83" s="5" t="n">
        <v>36678</v>
      </c>
      <c r="J83" s="4" t="s">
        <v>19</v>
      </c>
      <c r="K83" s="4" t="s">
        <v>20</v>
      </c>
      <c r="L83" s="4" t="s">
        <v>285</v>
      </c>
    </row>
    <row r="84" customFormat="false" ht="12.8" hidden="false" customHeight="false" outlineLevel="0" collapsed="false">
      <c r="A84" s="2" t="str">
        <f aca="false">HYPERLINK("https://www.fabsurplus.com/sdi_catalog/salesItemDetails.do?id=95407")</f>
        <v>https://www.fabsurplus.com/sdi_catalog/salesItemDetails.do?id=95407</v>
      </c>
      <c r="B84" s="2" t="s">
        <v>287</v>
      </c>
      <c r="C84" s="2" t="s">
        <v>281</v>
      </c>
      <c r="D84" s="2" t="s">
        <v>282</v>
      </c>
      <c r="E84" s="2" t="s">
        <v>288</v>
      </c>
      <c r="F84" s="2" t="s">
        <v>16</v>
      </c>
      <c r="G84" s="2" t="s">
        <v>284</v>
      </c>
      <c r="H84" s="2" t="s">
        <v>18</v>
      </c>
      <c r="I84" s="3" t="n">
        <v>36678</v>
      </c>
      <c r="J84" s="2" t="s">
        <v>19</v>
      </c>
      <c r="K84" s="2" t="s">
        <v>20</v>
      </c>
      <c r="L84" s="2" t="s">
        <v>285</v>
      </c>
    </row>
    <row r="85" customFormat="false" ht="12.8" hidden="false" customHeight="false" outlineLevel="0" collapsed="false">
      <c r="A85" s="4" t="str">
        <f aca="false">HYPERLINK("https://www.fabsurplus.com/sdi_catalog/salesItemDetails.do?id=76735")</f>
        <v>https://www.fabsurplus.com/sdi_catalog/salesItemDetails.do?id=76735</v>
      </c>
      <c r="B85" s="4" t="s">
        <v>289</v>
      </c>
      <c r="C85" s="4" t="s">
        <v>290</v>
      </c>
      <c r="D85" s="4" t="s">
        <v>291</v>
      </c>
      <c r="E85" s="4" t="s">
        <v>292</v>
      </c>
      <c r="F85" s="4" t="s">
        <v>16</v>
      </c>
      <c r="G85" s="4" t="s">
        <v>32</v>
      </c>
      <c r="H85" s="4" t="s">
        <v>33</v>
      </c>
      <c r="I85" s="5" t="n">
        <v>38169</v>
      </c>
      <c r="J85" s="4" t="s">
        <v>19</v>
      </c>
      <c r="K85" s="4" t="s">
        <v>20</v>
      </c>
      <c r="L85" s="4" t="s">
        <v>21</v>
      </c>
    </row>
    <row r="86" customFormat="false" ht="12.8" hidden="false" customHeight="false" outlineLevel="0" collapsed="false">
      <c r="A86" s="2" t="str">
        <f aca="false">HYPERLINK("https://www.fabsurplus.com/sdi_catalog/salesItemDetails.do?id=76736")</f>
        <v>https://www.fabsurplus.com/sdi_catalog/salesItemDetails.do?id=76736</v>
      </c>
      <c r="B86" s="2" t="s">
        <v>293</v>
      </c>
      <c r="C86" s="2" t="s">
        <v>290</v>
      </c>
      <c r="D86" s="2" t="s">
        <v>291</v>
      </c>
      <c r="E86" s="2" t="s">
        <v>292</v>
      </c>
      <c r="F86" s="2" t="s">
        <v>16</v>
      </c>
      <c r="G86" s="2" t="s">
        <v>32</v>
      </c>
      <c r="H86" s="2" t="s">
        <v>33</v>
      </c>
      <c r="I86" s="3" t="n">
        <v>38169</v>
      </c>
      <c r="J86" s="2" t="s">
        <v>19</v>
      </c>
      <c r="K86" s="2" t="s">
        <v>20</v>
      </c>
      <c r="L86" s="2" t="s">
        <v>21</v>
      </c>
    </row>
    <row r="87" customFormat="false" ht="12.8" hidden="false" customHeight="false" outlineLevel="0" collapsed="false">
      <c r="A87" s="4" t="str">
        <f aca="false">HYPERLINK("https://www.fabsurplus.com/sdi_catalog/salesItemDetails.do?id=76737")</f>
        <v>https://www.fabsurplus.com/sdi_catalog/salesItemDetails.do?id=76737</v>
      </c>
      <c r="B87" s="4" t="s">
        <v>294</v>
      </c>
      <c r="C87" s="4" t="s">
        <v>290</v>
      </c>
      <c r="D87" s="4" t="s">
        <v>291</v>
      </c>
      <c r="E87" s="4" t="s">
        <v>292</v>
      </c>
      <c r="F87" s="4" t="s">
        <v>16</v>
      </c>
      <c r="G87" s="4" t="s">
        <v>32</v>
      </c>
      <c r="H87" s="4" t="s">
        <v>33</v>
      </c>
      <c r="I87" s="5" t="n">
        <v>38169</v>
      </c>
      <c r="J87" s="4" t="s">
        <v>19</v>
      </c>
      <c r="K87" s="4" t="s">
        <v>20</v>
      </c>
      <c r="L87" s="4" t="s">
        <v>21</v>
      </c>
    </row>
    <row r="88" customFormat="false" ht="12.8" hidden="false" customHeight="false" outlineLevel="0" collapsed="false">
      <c r="A88" s="2" t="str">
        <f aca="false">HYPERLINK("https://www.fabsurplus.com/sdi_catalog/salesItemDetails.do?id=76738")</f>
        <v>https://www.fabsurplus.com/sdi_catalog/salesItemDetails.do?id=76738</v>
      </c>
      <c r="B88" s="2" t="s">
        <v>295</v>
      </c>
      <c r="C88" s="2" t="s">
        <v>290</v>
      </c>
      <c r="D88" s="2" t="s">
        <v>291</v>
      </c>
      <c r="E88" s="2" t="s">
        <v>292</v>
      </c>
      <c r="F88" s="2" t="s">
        <v>16</v>
      </c>
      <c r="G88" s="2" t="s">
        <v>32</v>
      </c>
      <c r="H88" s="2" t="s">
        <v>33</v>
      </c>
      <c r="I88" s="3" t="n">
        <v>38169</v>
      </c>
      <c r="J88" s="2" t="s">
        <v>19</v>
      </c>
      <c r="K88" s="2" t="s">
        <v>20</v>
      </c>
      <c r="L88" s="2" t="s">
        <v>21</v>
      </c>
    </row>
    <row r="89" customFormat="false" ht="12.8" hidden="false" customHeight="false" outlineLevel="0" collapsed="false">
      <c r="A89" s="4" t="str">
        <f aca="false">HYPERLINK("https://www.fabsurplus.com/sdi_catalog/salesItemDetails.do?id=76739")</f>
        <v>https://www.fabsurplus.com/sdi_catalog/salesItemDetails.do?id=76739</v>
      </c>
      <c r="B89" s="4" t="s">
        <v>296</v>
      </c>
      <c r="C89" s="4" t="s">
        <v>290</v>
      </c>
      <c r="D89" s="4" t="s">
        <v>291</v>
      </c>
      <c r="E89" s="4" t="s">
        <v>292</v>
      </c>
      <c r="F89" s="4" t="s">
        <v>16</v>
      </c>
      <c r="G89" s="4" t="s">
        <v>32</v>
      </c>
      <c r="H89" s="4" t="s">
        <v>33</v>
      </c>
      <c r="I89" s="5" t="n">
        <v>38231</v>
      </c>
      <c r="J89" s="4" t="s">
        <v>19</v>
      </c>
      <c r="K89" s="4" t="s">
        <v>20</v>
      </c>
      <c r="L89" s="4" t="s">
        <v>21</v>
      </c>
    </row>
    <row r="90" customFormat="false" ht="12.8" hidden="false" customHeight="false" outlineLevel="0" collapsed="false">
      <c r="A90" s="2" t="str">
        <f aca="false">HYPERLINK("https://www.fabsurplus.com/sdi_catalog/salesItemDetails.do?id=79892")</f>
        <v>https://www.fabsurplus.com/sdi_catalog/salesItemDetails.do?id=79892</v>
      </c>
      <c r="B90" s="2" t="s">
        <v>297</v>
      </c>
      <c r="C90" s="2" t="s">
        <v>298</v>
      </c>
      <c r="D90" s="2" t="s">
        <v>299</v>
      </c>
      <c r="E90" s="2" t="s">
        <v>300</v>
      </c>
      <c r="F90" s="2" t="s">
        <v>16</v>
      </c>
      <c r="G90" s="2" t="s">
        <v>59</v>
      </c>
      <c r="H90" s="2" t="s">
        <v>33</v>
      </c>
      <c r="I90" s="2"/>
      <c r="J90" s="2" t="s">
        <v>19</v>
      </c>
      <c r="K90" s="2" t="s">
        <v>20</v>
      </c>
      <c r="L90" s="2" t="s">
        <v>21</v>
      </c>
    </row>
    <row r="91" customFormat="false" ht="12.8" hidden="false" customHeight="false" outlineLevel="0" collapsed="false">
      <c r="A91" s="4" t="str">
        <f aca="false">HYPERLINK("https://www.fabsurplus.com/sdi_catalog/salesItemDetails.do?id=71907")</f>
        <v>https://www.fabsurplus.com/sdi_catalog/salesItemDetails.do?id=71907</v>
      </c>
      <c r="B91" s="4" t="s">
        <v>301</v>
      </c>
      <c r="C91" s="4" t="s">
        <v>302</v>
      </c>
      <c r="D91" s="4" t="s">
        <v>303</v>
      </c>
      <c r="E91" s="4" t="s">
        <v>304</v>
      </c>
      <c r="F91" s="4" t="s">
        <v>16</v>
      </c>
      <c r="G91" s="4" t="s">
        <v>305</v>
      </c>
      <c r="H91" s="4" t="s">
        <v>33</v>
      </c>
      <c r="I91" s="5" t="n">
        <v>37165</v>
      </c>
      <c r="J91" s="4" t="s">
        <v>81</v>
      </c>
      <c r="K91" s="4" t="s">
        <v>20</v>
      </c>
      <c r="L91" s="4" t="s">
        <v>21</v>
      </c>
    </row>
    <row r="92" customFormat="false" ht="12.8" hidden="false" customHeight="false" outlineLevel="0" collapsed="false">
      <c r="A92" s="2" t="str">
        <f aca="false">HYPERLINK("https://www.fabsurplus.com/sdi_catalog/salesItemDetails.do?id=36259")</f>
        <v>https://www.fabsurplus.com/sdi_catalog/salesItemDetails.do?id=36259</v>
      </c>
      <c r="B92" s="2" t="s">
        <v>306</v>
      </c>
      <c r="C92" s="2" t="s">
        <v>307</v>
      </c>
      <c r="D92" s="2" t="s">
        <v>308</v>
      </c>
      <c r="E92" s="2" t="s">
        <v>309</v>
      </c>
      <c r="F92" s="2" t="s">
        <v>16</v>
      </c>
      <c r="G92" s="2" t="s">
        <v>310</v>
      </c>
      <c r="H92" s="2" t="s">
        <v>311</v>
      </c>
      <c r="I92" s="3" t="n">
        <v>38504</v>
      </c>
      <c r="J92" s="2" t="s">
        <v>312</v>
      </c>
      <c r="K92" s="2" t="s">
        <v>313</v>
      </c>
      <c r="L92" s="2" t="s">
        <v>314</v>
      </c>
    </row>
    <row r="93" customFormat="false" ht="12.8" hidden="false" customHeight="false" outlineLevel="0" collapsed="false">
      <c r="A93" s="4" t="str">
        <f aca="false">HYPERLINK("https://www.fabsurplus.com/sdi_catalog/salesItemDetails.do?id=56141")</f>
        <v>https://www.fabsurplus.com/sdi_catalog/salesItemDetails.do?id=56141</v>
      </c>
      <c r="B93" s="4" t="s">
        <v>315</v>
      </c>
      <c r="C93" s="4" t="s">
        <v>316</v>
      </c>
      <c r="D93" s="4" t="s">
        <v>317</v>
      </c>
      <c r="E93" s="4" t="s">
        <v>318</v>
      </c>
      <c r="F93" s="4" t="s">
        <v>16</v>
      </c>
      <c r="G93" s="4" t="s">
        <v>153</v>
      </c>
      <c r="H93" s="4" t="s">
        <v>33</v>
      </c>
      <c r="I93" s="5" t="n">
        <v>38504</v>
      </c>
      <c r="J93" s="4" t="s">
        <v>19</v>
      </c>
      <c r="K93" s="4" t="s">
        <v>20</v>
      </c>
      <c r="L93" s="4" t="s">
        <v>127</v>
      </c>
    </row>
    <row r="94" customFormat="false" ht="12.8" hidden="false" customHeight="false" outlineLevel="0" collapsed="false">
      <c r="A94" s="2" t="str">
        <f aca="false">HYPERLINK("https://www.fabsurplus.com/sdi_catalog/salesItemDetails.do?id=56310")</f>
        <v>https://www.fabsurplus.com/sdi_catalog/salesItemDetails.do?id=56310</v>
      </c>
      <c r="B94" s="2" t="s">
        <v>319</v>
      </c>
      <c r="C94" s="2" t="s">
        <v>320</v>
      </c>
      <c r="D94" s="2" t="s">
        <v>321</v>
      </c>
      <c r="E94" s="2" t="s">
        <v>322</v>
      </c>
      <c r="F94" s="2" t="s">
        <v>16</v>
      </c>
      <c r="G94" s="2" t="s">
        <v>323</v>
      </c>
      <c r="H94" s="2" t="s">
        <v>33</v>
      </c>
      <c r="I94" s="3" t="n">
        <v>37773</v>
      </c>
      <c r="J94" s="2" t="s">
        <v>19</v>
      </c>
      <c r="K94" s="2" t="s">
        <v>20</v>
      </c>
      <c r="L94" s="2" t="s">
        <v>127</v>
      </c>
    </row>
    <row r="95" customFormat="false" ht="12.8" hidden="false" customHeight="false" outlineLevel="0" collapsed="false">
      <c r="A95" s="4" t="str">
        <f aca="false">HYPERLINK("https://www.fabsurplus.com/sdi_catalog/salesItemDetails.do?id=79595")</f>
        <v>https://www.fabsurplus.com/sdi_catalog/salesItemDetails.do?id=79595</v>
      </c>
      <c r="B95" s="4" t="s">
        <v>324</v>
      </c>
      <c r="C95" s="4" t="s">
        <v>325</v>
      </c>
      <c r="D95" s="4" t="s">
        <v>326</v>
      </c>
      <c r="E95" s="4" t="s">
        <v>327</v>
      </c>
      <c r="F95" s="4" t="s">
        <v>16</v>
      </c>
      <c r="G95" s="4" t="s">
        <v>328</v>
      </c>
      <c r="H95" s="4" t="s">
        <v>33</v>
      </c>
      <c r="I95" s="5" t="n">
        <v>40330</v>
      </c>
      <c r="J95" s="4" t="s">
        <v>19</v>
      </c>
      <c r="K95" s="4" t="s">
        <v>20</v>
      </c>
      <c r="L95" s="4" t="s">
        <v>21</v>
      </c>
    </row>
    <row r="96" customFormat="false" ht="12.8" hidden="false" customHeight="false" outlineLevel="0" collapsed="false">
      <c r="A96" s="2" t="str">
        <f aca="false">HYPERLINK("https://www.fabsurplus.com/sdi_catalog/salesItemDetails.do?id=76802")</f>
        <v>https://www.fabsurplus.com/sdi_catalog/salesItemDetails.do?id=76802</v>
      </c>
      <c r="B96" s="2" t="s">
        <v>329</v>
      </c>
      <c r="C96" s="2" t="s">
        <v>330</v>
      </c>
      <c r="D96" s="2" t="s">
        <v>331</v>
      </c>
      <c r="E96" s="2" t="s">
        <v>332</v>
      </c>
      <c r="F96" s="2" t="s">
        <v>16</v>
      </c>
      <c r="G96" s="2" t="s">
        <v>59</v>
      </c>
      <c r="H96" s="2" t="s">
        <v>33</v>
      </c>
      <c r="I96" s="2"/>
      <c r="J96" s="2" t="s">
        <v>19</v>
      </c>
      <c r="K96" s="2" t="s">
        <v>20</v>
      </c>
      <c r="L96" s="2" t="s">
        <v>21</v>
      </c>
    </row>
    <row r="97" customFormat="false" ht="12.8" hidden="false" customHeight="false" outlineLevel="0" collapsed="false">
      <c r="A97" s="4" t="str">
        <f aca="false">HYPERLINK("https://www.fabsurplus.com/sdi_catalog/salesItemDetails.do?id=1680")</f>
        <v>https://www.fabsurplus.com/sdi_catalog/salesItemDetails.do?id=1680</v>
      </c>
      <c r="B97" s="4" t="s">
        <v>333</v>
      </c>
      <c r="C97" s="4" t="s">
        <v>334</v>
      </c>
      <c r="D97" s="4" t="s">
        <v>335</v>
      </c>
      <c r="E97" s="4" t="s">
        <v>336</v>
      </c>
      <c r="F97" s="4" t="s">
        <v>16</v>
      </c>
      <c r="G97" s="4" t="s">
        <v>32</v>
      </c>
      <c r="H97" s="4" t="s">
        <v>33</v>
      </c>
      <c r="I97" s="5" t="n">
        <v>34912</v>
      </c>
      <c r="J97" s="4" t="s">
        <v>19</v>
      </c>
      <c r="K97" s="4" t="s">
        <v>20</v>
      </c>
      <c r="L97" s="4" t="s">
        <v>21</v>
      </c>
    </row>
    <row r="98" customFormat="false" ht="12.8" hidden="false" customHeight="false" outlineLevel="0" collapsed="false">
      <c r="A98" s="2" t="str">
        <f aca="false">HYPERLINK("https://www.fabsurplus.com/sdi_catalog/salesItemDetails.do?id=71632")</f>
        <v>https://www.fabsurplus.com/sdi_catalog/salesItemDetails.do?id=71632</v>
      </c>
      <c r="B98" s="2" t="s">
        <v>337</v>
      </c>
      <c r="C98" s="2" t="s">
        <v>334</v>
      </c>
      <c r="D98" s="2" t="s">
        <v>338</v>
      </c>
      <c r="E98" s="2" t="s">
        <v>339</v>
      </c>
      <c r="F98" s="2" t="s">
        <v>16</v>
      </c>
      <c r="G98" s="2" t="s">
        <v>32</v>
      </c>
      <c r="H98" s="2" t="s">
        <v>33</v>
      </c>
      <c r="I98" s="2"/>
      <c r="J98" s="2" t="s">
        <v>19</v>
      </c>
      <c r="K98" s="2" t="s">
        <v>20</v>
      </c>
      <c r="L98" s="2"/>
    </row>
    <row r="99" customFormat="false" ht="12.8" hidden="false" customHeight="false" outlineLevel="0" collapsed="false">
      <c r="A99" s="4" t="str">
        <f aca="false">HYPERLINK("https://www.fabsurplus.com/sdi_catalog/salesItemDetails.do?id=76682")</f>
        <v>https://www.fabsurplus.com/sdi_catalog/salesItemDetails.do?id=76682</v>
      </c>
      <c r="B99" s="4" t="s">
        <v>340</v>
      </c>
      <c r="C99" s="4" t="s">
        <v>334</v>
      </c>
      <c r="D99" s="4" t="s">
        <v>341</v>
      </c>
      <c r="E99" s="4" t="s">
        <v>342</v>
      </c>
      <c r="F99" s="4" t="s">
        <v>16</v>
      </c>
      <c r="G99" s="4" t="s">
        <v>32</v>
      </c>
      <c r="H99" s="4" t="s">
        <v>33</v>
      </c>
      <c r="I99" s="5" t="n">
        <v>37895</v>
      </c>
      <c r="J99" s="4" t="s">
        <v>19</v>
      </c>
      <c r="K99" s="4" t="s">
        <v>20</v>
      </c>
      <c r="L99" s="4" t="s">
        <v>21</v>
      </c>
    </row>
    <row r="100" customFormat="false" ht="12.8" hidden="false" customHeight="false" outlineLevel="0" collapsed="false">
      <c r="A100" s="2" t="str">
        <f aca="false">HYPERLINK("https://www.fabsurplus.com/sdi_catalog/salesItemDetails.do?id=2873")</f>
        <v>https://www.fabsurplus.com/sdi_catalog/salesItemDetails.do?id=2873</v>
      </c>
      <c r="B100" s="2" t="s">
        <v>343</v>
      </c>
      <c r="C100" s="2" t="s">
        <v>344</v>
      </c>
      <c r="D100" s="2" t="s">
        <v>345</v>
      </c>
      <c r="E100" s="2" t="s">
        <v>346</v>
      </c>
      <c r="F100" s="2" t="s">
        <v>16</v>
      </c>
      <c r="G100" s="2" t="s">
        <v>86</v>
      </c>
      <c r="H100" s="2" t="s">
        <v>18</v>
      </c>
      <c r="I100" s="3" t="n">
        <v>34700</v>
      </c>
      <c r="J100" s="2" t="s">
        <v>19</v>
      </c>
      <c r="K100" s="2" t="s">
        <v>20</v>
      </c>
      <c r="L100" s="2" t="s">
        <v>21</v>
      </c>
    </row>
    <row r="101" customFormat="false" ht="12.8" hidden="false" customHeight="false" outlineLevel="0" collapsed="false">
      <c r="A101" s="4" t="str">
        <f aca="false">HYPERLINK("https://www.fabsurplus.com/sdi_catalog/salesItemDetails.do?id=95408")</f>
        <v>https://www.fabsurplus.com/sdi_catalog/salesItemDetails.do?id=95408</v>
      </c>
      <c r="B101" s="4" t="s">
        <v>347</v>
      </c>
      <c r="C101" s="4" t="s">
        <v>344</v>
      </c>
      <c r="D101" s="4" t="s">
        <v>345</v>
      </c>
      <c r="E101" s="4" t="s">
        <v>346</v>
      </c>
      <c r="F101" s="4" t="s">
        <v>16</v>
      </c>
      <c r="G101" s="4" t="s">
        <v>86</v>
      </c>
      <c r="H101" s="4" t="s">
        <v>18</v>
      </c>
      <c r="I101" s="5" t="n">
        <v>34700</v>
      </c>
      <c r="J101" s="4" t="s">
        <v>19</v>
      </c>
      <c r="K101" s="4" t="s">
        <v>20</v>
      </c>
      <c r="L101" s="4" t="s">
        <v>21</v>
      </c>
    </row>
    <row r="102" customFormat="false" ht="12.8" hidden="false" customHeight="false" outlineLevel="0" collapsed="false">
      <c r="A102" s="2" t="str">
        <f aca="false">HYPERLINK("https://www.fabsurplus.com/sdi_catalog/salesItemDetails.do?id=15066")</f>
        <v>https://www.fabsurplus.com/sdi_catalog/salesItemDetails.do?id=15066</v>
      </c>
      <c r="B102" s="2" t="s">
        <v>348</v>
      </c>
      <c r="C102" s="2" t="s">
        <v>349</v>
      </c>
      <c r="D102" s="2" t="s">
        <v>350</v>
      </c>
      <c r="E102" s="2" t="s">
        <v>351</v>
      </c>
      <c r="F102" s="2" t="s">
        <v>16</v>
      </c>
      <c r="G102" s="2" t="s">
        <v>352</v>
      </c>
      <c r="H102" s="2" t="s">
        <v>18</v>
      </c>
      <c r="I102" s="3" t="n">
        <v>37438</v>
      </c>
      <c r="J102" s="2" t="s">
        <v>81</v>
      </c>
      <c r="K102" s="2" t="s">
        <v>20</v>
      </c>
      <c r="L102" s="2" t="s">
        <v>21</v>
      </c>
    </row>
    <row r="103" customFormat="false" ht="12.8" hidden="false" customHeight="false" outlineLevel="0" collapsed="false">
      <c r="A103" s="4" t="str">
        <f aca="false">HYPERLINK("https://www.fabsurplus.com/sdi_catalog/salesItemDetails.do?id=33542")</f>
        <v>https://www.fabsurplus.com/sdi_catalog/salesItemDetails.do?id=33542</v>
      </c>
      <c r="B103" s="4" t="s">
        <v>353</v>
      </c>
      <c r="C103" s="4" t="s">
        <v>354</v>
      </c>
      <c r="D103" s="4" t="s">
        <v>355</v>
      </c>
      <c r="E103" s="4" t="s">
        <v>356</v>
      </c>
      <c r="F103" s="4" t="s">
        <v>16</v>
      </c>
      <c r="G103" s="4" t="s">
        <v>352</v>
      </c>
      <c r="H103" s="4" t="s">
        <v>33</v>
      </c>
      <c r="I103" s="4"/>
      <c r="J103" s="4" t="s">
        <v>19</v>
      </c>
      <c r="K103" s="4" t="s">
        <v>20</v>
      </c>
      <c r="L103" s="4" t="s">
        <v>357</v>
      </c>
    </row>
    <row r="104" customFormat="false" ht="12.8" hidden="false" customHeight="false" outlineLevel="0" collapsed="false">
      <c r="A104" s="2" t="str">
        <f aca="false">HYPERLINK("https://www.fabsurplus.com/sdi_catalog/salesItemDetails.do?id=79571")</f>
        <v>https://www.fabsurplus.com/sdi_catalog/salesItemDetails.do?id=79571</v>
      </c>
      <c r="B104" s="2" t="s">
        <v>358</v>
      </c>
      <c r="C104" s="2" t="s">
        <v>359</v>
      </c>
      <c r="D104" s="2" t="s">
        <v>360</v>
      </c>
      <c r="E104" s="2" t="s">
        <v>361</v>
      </c>
      <c r="F104" s="2" t="s">
        <v>16</v>
      </c>
      <c r="G104" s="2" t="s">
        <v>206</v>
      </c>
      <c r="H104" s="2" t="s">
        <v>33</v>
      </c>
      <c r="I104" s="3" t="n">
        <v>34121</v>
      </c>
      <c r="J104" s="2" t="s">
        <v>19</v>
      </c>
      <c r="K104" s="2" t="s">
        <v>20</v>
      </c>
      <c r="L104" s="2" t="s">
        <v>21</v>
      </c>
    </row>
    <row r="105" customFormat="false" ht="12.8" hidden="false" customHeight="false" outlineLevel="0" collapsed="false">
      <c r="A105" s="4" t="str">
        <f aca="false">HYPERLINK("https://www.fabsurplus.com/sdi_catalog/salesItemDetails.do?id=79572")</f>
        <v>https://www.fabsurplus.com/sdi_catalog/salesItemDetails.do?id=79572</v>
      </c>
      <c r="B105" s="4" t="s">
        <v>362</v>
      </c>
      <c r="C105" s="4" t="s">
        <v>359</v>
      </c>
      <c r="D105" s="4" t="s">
        <v>360</v>
      </c>
      <c r="E105" s="4" t="s">
        <v>361</v>
      </c>
      <c r="F105" s="4" t="s">
        <v>16</v>
      </c>
      <c r="G105" s="4" t="s">
        <v>206</v>
      </c>
      <c r="H105" s="4" t="s">
        <v>33</v>
      </c>
      <c r="I105" s="5" t="n">
        <v>34121</v>
      </c>
      <c r="J105" s="4" t="s">
        <v>19</v>
      </c>
      <c r="K105" s="4" t="s">
        <v>20</v>
      </c>
      <c r="L105" s="4" t="s">
        <v>21</v>
      </c>
    </row>
    <row r="106" customFormat="false" ht="12.8" hidden="false" customHeight="false" outlineLevel="0" collapsed="false">
      <c r="A106" s="2" t="str">
        <f aca="false">HYPERLINK("https://www.fabsurplus.com/sdi_catalog/salesItemDetails.do?id=80038")</f>
        <v>https://www.fabsurplus.com/sdi_catalog/salesItemDetails.do?id=80038</v>
      </c>
      <c r="B106" s="2" t="s">
        <v>363</v>
      </c>
      <c r="C106" s="2" t="s">
        <v>364</v>
      </c>
      <c r="D106" s="2" t="s">
        <v>365</v>
      </c>
      <c r="E106" s="2" t="s">
        <v>366</v>
      </c>
      <c r="F106" s="2" t="s">
        <v>16</v>
      </c>
      <c r="G106" s="2"/>
      <c r="H106" s="2" t="s">
        <v>33</v>
      </c>
      <c r="I106" s="3" t="n">
        <v>37073</v>
      </c>
      <c r="J106" s="2" t="s">
        <v>19</v>
      </c>
      <c r="K106" s="2" t="s">
        <v>20</v>
      </c>
      <c r="L106" s="2" t="s">
        <v>367</v>
      </c>
    </row>
    <row r="107" customFormat="false" ht="12.8" hidden="false" customHeight="false" outlineLevel="0" collapsed="false">
      <c r="A107" s="4" t="str">
        <f aca="false">HYPERLINK("https://www.fabsurplus.com/sdi_catalog/salesItemDetails.do?id=4007")</f>
        <v>https://www.fabsurplus.com/sdi_catalog/salesItemDetails.do?id=4007</v>
      </c>
      <c r="B107" s="4" t="s">
        <v>368</v>
      </c>
      <c r="C107" s="4" t="s">
        <v>369</v>
      </c>
      <c r="D107" s="4" t="s">
        <v>370</v>
      </c>
      <c r="E107" s="4" t="s">
        <v>371</v>
      </c>
      <c r="F107" s="4" t="s">
        <v>16</v>
      </c>
      <c r="G107" s="4" t="s">
        <v>372</v>
      </c>
      <c r="H107" s="4" t="s">
        <v>18</v>
      </c>
      <c r="I107" s="5" t="n">
        <v>34851</v>
      </c>
      <c r="J107" s="4" t="s">
        <v>81</v>
      </c>
      <c r="K107" s="4" t="s">
        <v>20</v>
      </c>
      <c r="L107" s="4" t="s">
        <v>373</v>
      </c>
    </row>
    <row r="108" customFormat="false" ht="12.8" hidden="false" customHeight="false" outlineLevel="0" collapsed="false">
      <c r="A108" s="2" t="str">
        <f aca="false">HYPERLINK("https://www.fabsurplus.com/sdi_catalog/salesItemDetails.do?id=71902")</f>
        <v>https://www.fabsurplus.com/sdi_catalog/salesItemDetails.do?id=71902</v>
      </c>
      <c r="B108" s="2" t="s">
        <v>374</v>
      </c>
      <c r="C108" s="2" t="s">
        <v>375</v>
      </c>
      <c r="D108" s="2" t="s">
        <v>376</v>
      </c>
      <c r="E108" s="2" t="s">
        <v>377</v>
      </c>
      <c r="F108" s="2" t="s">
        <v>16</v>
      </c>
      <c r="G108" s="2" t="s">
        <v>378</v>
      </c>
      <c r="H108" s="2" t="s">
        <v>33</v>
      </c>
      <c r="I108" s="3" t="n">
        <v>36678</v>
      </c>
      <c r="J108" s="2" t="s">
        <v>19</v>
      </c>
      <c r="K108" s="2" t="s">
        <v>20</v>
      </c>
      <c r="L108" s="2" t="s">
        <v>21</v>
      </c>
    </row>
    <row r="109" customFormat="false" ht="12.8" hidden="false" customHeight="false" outlineLevel="0" collapsed="false">
      <c r="A109" s="4" t="str">
        <f aca="false">HYPERLINK("https://www.fabsurplus.com/sdi_catalog/salesItemDetails.do?id=79592")</f>
        <v>https://www.fabsurplus.com/sdi_catalog/salesItemDetails.do?id=79592</v>
      </c>
      <c r="B109" s="4" t="s">
        <v>379</v>
      </c>
      <c r="C109" s="4" t="s">
        <v>380</v>
      </c>
      <c r="D109" s="4" t="s">
        <v>381</v>
      </c>
      <c r="E109" s="4" t="s">
        <v>382</v>
      </c>
      <c r="F109" s="4" t="s">
        <v>16</v>
      </c>
      <c r="G109" s="4" t="s">
        <v>59</v>
      </c>
      <c r="H109" s="4" t="s">
        <v>33</v>
      </c>
      <c r="I109" s="5" t="n">
        <v>39234</v>
      </c>
      <c r="J109" s="4" t="s">
        <v>19</v>
      </c>
      <c r="K109" s="4" t="s">
        <v>20</v>
      </c>
      <c r="L109" s="4" t="s">
        <v>21</v>
      </c>
    </row>
    <row r="110" customFormat="false" ht="12.8" hidden="false" customHeight="false" outlineLevel="0" collapsed="false">
      <c r="A110" s="2" t="str">
        <f aca="false">HYPERLINK("https://www.fabsurplus.com/sdi_catalog/salesItemDetails.do?id=79593")</f>
        <v>https://www.fabsurplus.com/sdi_catalog/salesItemDetails.do?id=79593</v>
      </c>
      <c r="B110" s="2" t="s">
        <v>383</v>
      </c>
      <c r="C110" s="2" t="s">
        <v>380</v>
      </c>
      <c r="D110" s="2" t="s">
        <v>381</v>
      </c>
      <c r="E110" s="2" t="s">
        <v>384</v>
      </c>
      <c r="F110" s="2" t="s">
        <v>16</v>
      </c>
      <c r="G110" s="2" t="s">
        <v>59</v>
      </c>
      <c r="H110" s="2" t="s">
        <v>33</v>
      </c>
      <c r="I110" s="3" t="n">
        <v>38504</v>
      </c>
      <c r="J110" s="2" t="s">
        <v>19</v>
      </c>
      <c r="K110" s="2" t="s">
        <v>20</v>
      </c>
      <c r="L110" s="2" t="s">
        <v>21</v>
      </c>
    </row>
    <row r="111" customFormat="false" ht="12.8" hidden="false" customHeight="false" outlineLevel="0" collapsed="false">
      <c r="A111" s="4" t="str">
        <f aca="false">HYPERLINK("https://www.fabsurplus.com/sdi_catalog/salesItemDetails.do?id=72156")</f>
        <v>https://www.fabsurplus.com/sdi_catalog/salesItemDetails.do?id=72156</v>
      </c>
      <c r="B111" s="4" t="s">
        <v>385</v>
      </c>
      <c r="C111" s="4" t="s">
        <v>386</v>
      </c>
      <c r="D111" s="4" t="s">
        <v>387</v>
      </c>
      <c r="E111" s="4" t="s">
        <v>388</v>
      </c>
      <c r="F111" s="4" t="s">
        <v>16</v>
      </c>
      <c r="G111" s="4" t="s">
        <v>47</v>
      </c>
      <c r="H111" s="4" t="s">
        <v>389</v>
      </c>
      <c r="I111" s="5" t="n">
        <v>39052</v>
      </c>
      <c r="J111" s="4" t="s">
        <v>19</v>
      </c>
      <c r="K111" s="4" t="s">
        <v>20</v>
      </c>
      <c r="L111" s="4" t="s">
        <v>390</v>
      </c>
    </row>
    <row r="112" customFormat="false" ht="12.8" hidden="false" customHeight="false" outlineLevel="0" collapsed="false">
      <c r="A112" s="2" t="str">
        <f aca="false">HYPERLINK("https://www.fabsurplus.com/sdi_catalog/salesItemDetails.do?id=77665")</f>
        <v>https://www.fabsurplus.com/sdi_catalog/salesItemDetails.do?id=77665</v>
      </c>
      <c r="B112" s="2" t="s">
        <v>391</v>
      </c>
      <c r="C112" s="2" t="s">
        <v>392</v>
      </c>
      <c r="D112" s="2" t="s">
        <v>393</v>
      </c>
      <c r="E112" s="2" t="s">
        <v>394</v>
      </c>
      <c r="F112" s="2" t="s">
        <v>16</v>
      </c>
      <c r="G112" s="2" t="s">
        <v>395</v>
      </c>
      <c r="H112" s="2" t="s">
        <v>18</v>
      </c>
      <c r="I112" s="3" t="n">
        <v>37135</v>
      </c>
      <c r="J112" s="2" t="s">
        <v>19</v>
      </c>
      <c r="K112" s="2" t="s">
        <v>20</v>
      </c>
      <c r="L112" s="2" t="s">
        <v>116</v>
      </c>
    </row>
    <row r="113" customFormat="false" ht="12.8" hidden="false" customHeight="false" outlineLevel="0" collapsed="false">
      <c r="A113" s="4" t="str">
        <f aca="false">HYPERLINK("https://www.fabsurplus.com/sdi_catalog/salesItemDetails.do?id=71760")</f>
        <v>https://www.fabsurplus.com/sdi_catalog/salesItemDetails.do?id=71760</v>
      </c>
      <c r="B113" s="4" t="s">
        <v>396</v>
      </c>
      <c r="C113" s="4" t="s">
        <v>397</v>
      </c>
      <c r="D113" s="4" t="s">
        <v>398</v>
      </c>
      <c r="E113" s="4" t="s">
        <v>399</v>
      </c>
      <c r="F113" s="4" t="s">
        <v>16</v>
      </c>
      <c r="G113" s="4" t="s">
        <v>400</v>
      </c>
      <c r="H113" s="4" t="s">
        <v>18</v>
      </c>
      <c r="I113" s="5" t="n">
        <v>32843</v>
      </c>
      <c r="J113" s="4" t="s">
        <v>19</v>
      </c>
      <c r="K113" s="4" t="s">
        <v>20</v>
      </c>
      <c r="L113" s="4" t="s">
        <v>401</v>
      </c>
    </row>
    <row r="114" customFormat="false" ht="12.8" hidden="false" customHeight="false" outlineLevel="0" collapsed="false">
      <c r="A114" s="2" t="str">
        <f aca="false">HYPERLINK("https://www.fabsurplus.com/sdi_catalog/salesItemDetails.do?id=31246")</f>
        <v>https://www.fabsurplus.com/sdi_catalog/salesItemDetails.do?id=31246</v>
      </c>
      <c r="B114" s="2" t="s">
        <v>402</v>
      </c>
      <c r="C114" s="2" t="s">
        <v>403</v>
      </c>
      <c r="D114" s="2" t="s">
        <v>404</v>
      </c>
      <c r="E114" s="2" t="s">
        <v>405</v>
      </c>
      <c r="F114" s="2" t="s">
        <v>16</v>
      </c>
      <c r="G114" s="2" t="s">
        <v>352</v>
      </c>
      <c r="H114" s="2" t="s">
        <v>33</v>
      </c>
      <c r="I114" s="3" t="n">
        <v>36465</v>
      </c>
      <c r="J114" s="2" t="s">
        <v>19</v>
      </c>
      <c r="K114" s="2" t="s">
        <v>20</v>
      </c>
      <c r="L114" s="2" t="s">
        <v>95</v>
      </c>
    </row>
    <row r="115" customFormat="false" ht="12.8" hidden="false" customHeight="false" outlineLevel="0" collapsed="false">
      <c r="A115" s="4" t="str">
        <f aca="false">HYPERLINK("https://www.fabsurplus.com/sdi_catalog/salesItemDetails.do?id=54210")</f>
        <v>https://www.fabsurplus.com/sdi_catalog/salesItemDetails.do?id=54210</v>
      </c>
      <c r="B115" s="4" t="s">
        <v>406</v>
      </c>
      <c r="C115" s="4" t="s">
        <v>407</v>
      </c>
      <c r="D115" s="4" t="s">
        <v>282</v>
      </c>
      <c r="E115" s="4" t="s">
        <v>408</v>
      </c>
      <c r="F115" s="4" t="s">
        <v>16</v>
      </c>
      <c r="G115" s="4" t="s">
        <v>32</v>
      </c>
      <c r="H115" s="4" t="s">
        <v>33</v>
      </c>
      <c r="I115" s="5" t="n">
        <v>38504</v>
      </c>
      <c r="J115" s="4" t="s">
        <v>19</v>
      </c>
      <c r="K115" s="4" t="s">
        <v>20</v>
      </c>
      <c r="L115" s="4" t="s">
        <v>213</v>
      </c>
    </row>
    <row r="116" customFormat="false" ht="12.8" hidden="false" customHeight="false" outlineLevel="0" collapsed="false">
      <c r="A116" s="2" t="str">
        <f aca="false">HYPERLINK("https://www.fabsurplus.com/sdi_catalog/salesItemDetails.do?id=77670")</f>
        <v>https://www.fabsurplus.com/sdi_catalog/salesItemDetails.do?id=77670</v>
      </c>
      <c r="B116" s="2" t="s">
        <v>409</v>
      </c>
      <c r="C116" s="2" t="s">
        <v>410</v>
      </c>
      <c r="D116" s="2" t="s">
        <v>411</v>
      </c>
      <c r="E116" s="2" t="s">
        <v>412</v>
      </c>
      <c r="F116" s="2" t="s">
        <v>16</v>
      </c>
      <c r="G116" s="2"/>
      <c r="H116" s="2" t="s">
        <v>33</v>
      </c>
      <c r="I116" s="2"/>
      <c r="J116" s="2" t="s">
        <v>19</v>
      </c>
      <c r="K116" s="2" t="s">
        <v>20</v>
      </c>
      <c r="L116" s="2" t="s">
        <v>116</v>
      </c>
    </row>
    <row r="117" customFormat="false" ht="12.8" hidden="false" customHeight="false" outlineLevel="0" collapsed="false">
      <c r="A117" s="4" t="str">
        <f aca="false">HYPERLINK("https://www.fabsurplus.com/sdi_catalog/salesItemDetails.do?id=57773")</f>
        <v>https://www.fabsurplus.com/sdi_catalog/salesItemDetails.do?id=57773</v>
      </c>
      <c r="B117" s="4" t="s">
        <v>413</v>
      </c>
      <c r="C117" s="4" t="s">
        <v>414</v>
      </c>
      <c r="D117" s="4" t="s">
        <v>415</v>
      </c>
      <c r="E117" s="4" t="s">
        <v>416</v>
      </c>
      <c r="F117" s="4" t="s">
        <v>16</v>
      </c>
      <c r="G117" s="4" t="s">
        <v>417</v>
      </c>
      <c r="H117" s="4" t="s">
        <v>18</v>
      </c>
      <c r="I117" s="5" t="n">
        <v>38504</v>
      </c>
      <c r="J117" s="4" t="s">
        <v>19</v>
      </c>
      <c r="K117" s="4" t="s">
        <v>20</v>
      </c>
      <c r="L117" s="4" t="s">
        <v>116</v>
      </c>
    </row>
    <row r="118" customFormat="false" ht="12.8" hidden="false" customHeight="false" outlineLevel="0" collapsed="false">
      <c r="A118" s="2" t="str">
        <f aca="false">HYPERLINK("https://www.fabsurplus.com/sdi_catalog/salesItemDetails.do?id=53053")</f>
        <v>https://www.fabsurplus.com/sdi_catalog/salesItemDetails.do?id=53053</v>
      </c>
      <c r="B118" s="2" t="s">
        <v>418</v>
      </c>
      <c r="C118" s="2" t="s">
        <v>419</v>
      </c>
      <c r="D118" s="2" t="s">
        <v>420</v>
      </c>
      <c r="E118" s="2" t="s">
        <v>421</v>
      </c>
      <c r="F118" s="2" t="s">
        <v>16</v>
      </c>
      <c r="G118" s="2" t="s">
        <v>53</v>
      </c>
      <c r="H118" s="2" t="s">
        <v>33</v>
      </c>
      <c r="I118" s="3" t="n">
        <v>34881</v>
      </c>
      <c r="J118" s="2" t="s">
        <v>19</v>
      </c>
      <c r="K118" s="2" t="s">
        <v>20</v>
      </c>
      <c r="L118" s="2" t="s">
        <v>21</v>
      </c>
    </row>
    <row r="119" customFormat="false" ht="12.8" hidden="false" customHeight="false" outlineLevel="0" collapsed="false">
      <c r="A119" s="4" t="str">
        <f aca="false">HYPERLINK("https://www.fabsurplus.com/sdi_catalog/salesItemDetails.do?id=56813")</f>
        <v>https://www.fabsurplus.com/sdi_catalog/salesItemDetails.do?id=56813</v>
      </c>
      <c r="B119" s="4" t="s">
        <v>422</v>
      </c>
      <c r="C119" s="4" t="s">
        <v>423</v>
      </c>
      <c r="D119" s="4" t="s">
        <v>424</v>
      </c>
      <c r="E119" s="4" t="s">
        <v>425</v>
      </c>
      <c r="F119" s="4" t="s">
        <v>16</v>
      </c>
      <c r="G119" s="4" t="s">
        <v>426</v>
      </c>
      <c r="H119" s="4" t="s">
        <v>33</v>
      </c>
      <c r="I119" s="5" t="n">
        <v>38504</v>
      </c>
      <c r="J119" s="4" t="s">
        <v>19</v>
      </c>
      <c r="K119" s="4" t="s">
        <v>20</v>
      </c>
      <c r="L119" s="4" t="s">
        <v>427</v>
      </c>
    </row>
    <row r="120" customFormat="false" ht="12.8" hidden="false" customHeight="false" outlineLevel="0" collapsed="false">
      <c r="A120" s="2" t="str">
        <f aca="false">HYPERLINK("https://www.fabsurplus.com/sdi_catalog/salesItemDetails.do?id=76973")</f>
        <v>https://www.fabsurplus.com/sdi_catalog/salesItemDetails.do?id=76973</v>
      </c>
      <c r="B120" s="2" t="s">
        <v>428</v>
      </c>
      <c r="C120" s="2" t="s">
        <v>423</v>
      </c>
      <c r="D120" s="2" t="s">
        <v>429</v>
      </c>
      <c r="E120" s="2" t="s">
        <v>429</v>
      </c>
      <c r="F120" s="2" t="s">
        <v>16</v>
      </c>
      <c r="G120" s="2"/>
      <c r="H120" s="2" t="s">
        <v>18</v>
      </c>
      <c r="I120" s="3" t="n">
        <v>38504</v>
      </c>
      <c r="J120" s="2" t="s">
        <v>19</v>
      </c>
      <c r="K120" s="2" t="s">
        <v>20</v>
      </c>
      <c r="L120" s="2" t="s">
        <v>427</v>
      </c>
    </row>
    <row r="121" customFormat="false" ht="12.8" hidden="false" customHeight="false" outlineLevel="0" collapsed="false">
      <c r="A121" s="4" t="str">
        <f aca="false">HYPERLINK("https://www.fabsurplus.com/sdi_catalog/salesItemDetails.do?id=79602")</f>
        <v>https://www.fabsurplus.com/sdi_catalog/salesItemDetails.do?id=79602</v>
      </c>
      <c r="B121" s="4" t="s">
        <v>430</v>
      </c>
      <c r="C121" s="4" t="s">
        <v>431</v>
      </c>
      <c r="D121" s="4" t="s">
        <v>432</v>
      </c>
      <c r="E121" s="4" t="s">
        <v>433</v>
      </c>
      <c r="F121" s="4" t="s">
        <v>16</v>
      </c>
      <c r="G121" s="4" t="s">
        <v>434</v>
      </c>
      <c r="H121" s="4" t="s">
        <v>33</v>
      </c>
      <c r="I121" s="5" t="n">
        <v>38139</v>
      </c>
      <c r="J121" s="4" t="s">
        <v>19</v>
      </c>
      <c r="K121" s="4" t="s">
        <v>20</v>
      </c>
      <c r="L121" s="4" t="s">
        <v>21</v>
      </c>
    </row>
    <row r="122" customFormat="false" ht="12.8" hidden="false" customHeight="false" outlineLevel="0" collapsed="false">
      <c r="A122" s="2" t="str">
        <f aca="false">HYPERLINK("https://www.fabsurplus.com/sdi_catalog/salesItemDetails.do?id=79889")</f>
        <v>https://www.fabsurplus.com/sdi_catalog/salesItemDetails.do?id=79889</v>
      </c>
      <c r="B122" s="2" t="s">
        <v>435</v>
      </c>
      <c r="C122" s="2" t="s">
        <v>436</v>
      </c>
      <c r="D122" s="2" t="s">
        <v>437</v>
      </c>
      <c r="E122" s="2" t="s">
        <v>384</v>
      </c>
      <c r="F122" s="2" t="s">
        <v>16</v>
      </c>
      <c r="G122" s="2" t="s">
        <v>59</v>
      </c>
      <c r="H122" s="2" t="s">
        <v>438</v>
      </c>
      <c r="I122" s="2"/>
      <c r="J122" s="2" t="s">
        <v>19</v>
      </c>
      <c r="K122" s="2" t="s">
        <v>20</v>
      </c>
      <c r="L122" s="2" t="s">
        <v>21</v>
      </c>
    </row>
    <row r="123" customFormat="false" ht="12.8" hidden="false" customHeight="false" outlineLevel="0" collapsed="false">
      <c r="A123" s="4" t="str">
        <f aca="false">HYPERLINK("https://www.fabsurplus.com/sdi_catalog/salesItemDetails.do?id=86303")</f>
        <v>https://www.fabsurplus.com/sdi_catalog/salesItemDetails.do?id=86303</v>
      </c>
      <c r="B123" s="4" t="s">
        <v>439</v>
      </c>
      <c r="C123" s="4" t="s">
        <v>440</v>
      </c>
      <c r="D123" s="4" t="s">
        <v>441</v>
      </c>
      <c r="E123" s="4" t="s">
        <v>442</v>
      </c>
      <c r="F123" s="4" t="s">
        <v>16</v>
      </c>
      <c r="G123" s="4" t="s">
        <v>228</v>
      </c>
      <c r="H123" s="4" t="s">
        <v>33</v>
      </c>
      <c r="I123" s="5" t="n">
        <v>35278</v>
      </c>
      <c r="J123" s="4" t="s">
        <v>19</v>
      </c>
      <c r="K123" s="4" t="s">
        <v>20</v>
      </c>
      <c r="L123" s="4" t="s">
        <v>87</v>
      </c>
    </row>
    <row r="124" customFormat="false" ht="12.8" hidden="false" customHeight="false" outlineLevel="0" collapsed="false">
      <c r="A124" s="2" t="str">
        <f aca="false">HYPERLINK("https://www.fabsurplus.com/sdi_catalog/salesItemDetails.do?id=69878")</f>
        <v>https://www.fabsurplus.com/sdi_catalog/salesItemDetails.do?id=69878</v>
      </c>
      <c r="B124" s="2" t="s">
        <v>443</v>
      </c>
      <c r="C124" s="2" t="s">
        <v>444</v>
      </c>
      <c r="D124" s="2" t="s">
        <v>445</v>
      </c>
      <c r="E124" s="2" t="s">
        <v>446</v>
      </c>
      <c r="F124" s="2" t="s">
        <v>16</v>
      </c>
      <c r="G124" s="2" t="s">
        <v>447</v>
      </c>
      <c r="H124" s="2" t="s">
        <v>115</v>
      </c>
      <c r="I124" s="3" t="n">
        <v>36465</v>
      </c>
      <c r="J124" s="2" t="s">
        <v>19</v>
      </c>
      <c r="K124" s="2" t="s">
        <v>20</v>
      </c>
      <c r="L124" s="2" t="s">
        <v>21</v>
      </c>
    </row>
    <row r="125" customFormat="false" ht="12.8" hidden="false" customHeight="false" outlineLevel="0" collapsed="false">
      <c r="A125" s="4" t="str">
        <f aca="false">HYPERLINK("https://www.fabsurplus.com/sdi_catalog/salesItemDetails.do?id=20268")</f>
        <v>https://www.fabsurplus.com/sdi_catalog/salesItemDetails.do?id=20268</v>
      </c>
      <c r="B125" s="4" t="s">
        <v>448</v>
      </c>
      <c r="C125" s="4" t="s">
        <v>449</v>
      </c>
      <c r="D125" s="4" t="s">
        <v>450</v>
      </c>
      <c r="E125" s="4" t="s">
        <v>451</v>
      </c>
      <c r="F125" s="4" t="s">
        <v>452</v>
      </c>
      <c r="G125" s="4" t="s">
        <v>32</v>
      </c>
      <c r="H125" s="4" t="s">
        <v>453</v>
      </c>
      <c r="I125" s="5" t="n">
        <v>38899</v>
      </c>
      <c r="J125" s="4" t="s">
        <v>19</v>
      </c>
      <c r="K125" s="4" t="s">
        <v>20</v>
      </c>
      <c r="L125" s="4" t="s">
        <v>21</v>
      </c>
    </row>
    <row r="126" customFormat="false" ht="12.8" hidden="false" customHeight="false" outlineLevel="0" collapsed="false">
      <c r="A126" s="2" t="str">
        <f aca="false">HYPERLINK("https://www.fabsurplus.com/sdi_catalog/salesItemDetails.do?id=54208")</f>
        <v>https://www.fabsurplus.com/sdi_catalog/salesItemDetails.do?id=54208</v>
      </c>
      <c r="B126" s="2" t="s">
        <v>454</v>
      </c>
      <c r="C126" s="2" t="s">
        <v>455</v>
      </c>
      <c r="D126" s="2" t="s">
        <v>456</v>
      </c>
      <c r="E126" s="2" t="s">
        <v>457</v>
      </c>
      <c r="F126" s="2" t="s">
        <v>16</v>
      </c>
      <c r="G126" s="2" t="s">
        <v>352</v>
      </c>
      <c r="H126" s="2" t="s">
        <v>33</v>
      </c>
      <c r="I126" s="3" t="n">
        <v>39387</v>
      </c>
      <c r="J126" s="2" t="s">
        <v>19</v>
      </c>
      <c r="K126" s="2" t="s">
        <v>20</v>
      </c>
      <c r="L126" s="2" t="s">
        <v>213</v>
      </c>
    </row>
    <row r="127" customFormat="false" ht="12.8" hidden="false" customHeight="false" outlineLevel="0" collapsed="false">
      <c r="A127" s="4" t="str">
        <f aca="false">HYPERLINK("https://www.fabsurplus.com/sdi_catalog/salesItemDetails.do?id=84342")</f>
        <v>https://www.fabsurplus.com/sdi_catalog/salesItemDetails.do?id=84342</v>
      </c>
      <c r="B127" s="4" t="s">
        <v>458</v>
      </c>
      <c r="C127" s="4" t="s">
        <v>459</v>
      </c>
      <c r="D127" s="4" t="s">
        <v>460</v>
      </c>
      <c r="E127" s="4" t="s">
        <v>461</v>
      </c>
      <c r="F127" s="4" t="s">
        <v>16</v>
      </c>
      <c r="G127" s="4"/>
      <c r="H127" s="4" t="s">
        <v>18</v>
      </c>
      <c r="I127" s="4"/>
      <c r="J127" s="4" t="s">
        <v>19</v>
      </c>
      <c r="K127" s="4" t="s">
        <v>20</v>
      </c>
      <c r="L127" s="4" t="s">
        <v>116</v>
      </c>
    </row>
    <row r="128" customFormat="false" ht="12.8" hidden="false" customHeight="false" outlineLevel="0" collapsed="false">
      <c r="A128" s="2" t="str">
        <f aca="false">HYPERLINK("https://www.fabsurplus.com/sdi_catalog/salesItemDetails.do?id=84351")</f>
        <v>https://www.fabsurplus.com/sdi_catalog/salesItemDetails.do?id=84351</v>
      </c>
      <c r="B128" s="2" t="s">
        <v>462</v>
      </c>
      <c r="C128" s="2" t="s">
        <v>459</v>
      </c>
      <c r="D128" s="2" t="s">
        <v>463</v>
      </c>
      <c r="E128" s="2" t="s">
        <v>461</v>
      </c>
      <c r="F128" s="2" t="s">
        <v>16</v>
      </c>
      <c r="G128" s="2"/>
      <c r="H128" s="2" t="s">
        <v>18</v>
      </c>
      <c r="I128" s="2"/>
      <c r="J128" s="2" t="s">
        <v>19</v>
      </c>
      <c r="K128" s="2" t="s">
        <v>20</v>
      </c>
      <c r="L128" s="2" t="s">
        <v>116</v>
      </c>
    </row>
    <row r="129" customFormat="false" ht="12.8" hidden="false" customHeight="false" outlineLevel="0" collapsed="false">
      <c r="A129" s="4" t="str">
        <f aca="false">HYPERLINK("https://www.fabsurplus.com/sdi_catalog/salesItemDetails.do?id=84364")</f>
        <v>https://www.fabsurplus.com/sdi_catalog/salesItemDetails.do?id=84364</v>
      </c>
      <c r="B129" s="4" t="s">
        <v>464</v>
      </c>
      <c r="C129" s="4" t="s">
        <v>459</v>
      </c>
      <c r="D129" s="4" t="s">
        <v>465</v>
      </c>
      <c r="E129" s="4" t="s">
        <v>466</v>
      </c>
      <c r="F129" s="4" t="s">
        <v>16</v>
      </c>
      <c r="G129" s="4" t="s">
        <v>467</v>
      </c>
      <c r="H129" s="4" t="s">
        <v>18</v>
      </c>
      <c r="I129" s="4"/>
      <c r="J129" s="4" t="s">
        <v>19</v>
      </c>
      <c r="K129" s="4" t="s">
        <v>20</v>
      </c>
      <c r="L129" s="4" t="s">
        <v>116</v>
      </c>
    </row>
    <row r="130" customFormat="false" ht="12.8" hidden="false" customHeight="false" outlineLevel="0" collapsed="false">
      <c r="A130" s="2" t="str">
        <f aca="false">HYPERLINK("https://www.fabsurplus.com/sdi_catalog/salesItemDetails.do?id=84365")</f>
        <v>https://www.fabsurplus.com/sdi_catalog/salesItemDetails.do?id=84365</v>
      </c>
      <c r="B130" s="2" t="s">
        <v>468</v>
      </c>
      <c r="C130" s="2" t="s">
        <v>459</v>
      </c>
      <c r="D130" s="2" t="s">
        <v>469</v>
      </c>
      <c r="E130" s="2" t="s">
        <v>466</v>
      </c>
      <c r="F130" s="2" t="s">
        <v>16</v>
      </c>
      <c r="G130" s="2" t="s">
        <v>467</v>
      </c>
      <c r="H130" s="2" t="s">
        <v>18</v>
      </c>
      <c r="I130" s="2"/>
      <c r="J130" s="2" t="s">
        <v>19</v>
      </c>
      <c r="K130" s="2" t="s">
        <v>20</v>
      </c>
      <c r="L130" s="2" t="s">
        <v>116</v>
      </c>
    </row>
    <row r="131" customFormat="false" ht="12.8" hidden="false" customHeight="false" outlineLevel="0" collapsed="false">
      <c r="A131" s="4" t="str">
        <f aca="false">HYPERLINK("https://www.fabsurplus.com/sdi_catalog/salesItemDetails.do?id=76610")</f>
        <v>https://www.fabsurplus.com/sdi_catalog/salesItemDetails.do?id=76610</v>
      </c>
      <c r="B131" s="4" t="s">
        <v>470</v>
      </c>
      <c r="C131" s="4" t="s">
        <v>471</v>
      </c>
      <c r="D131" s="4" t="s">
        <v>472</v>
      </c>
      <c r="E131" s="4" t="s">
        <v>473</v>
      </c>
      <c r="F131" s="4" t="s">
        <v>16</v>
      </c>
      <c r="G131" s="4" t="s">
        <v>32</v>
      </c>
      <c r="H131" s="4" t="s">
        <v>33</v>
      </c>
      <c r="I131" s="5" t="n">
        <v>35947</v>
      </c>
      <c r="J131" s="4" t="s">
        <v>19</v>
      </c>
      <c r="K131" s="4" t="s">
        <v>20</v>
      </c>
      <c r="L131" s="4" t="s">
        <v>21</v>
      </c>
    </row>
    <row r="132" customFormat="false" ht="12.8" hidden="false" customHeight="false" outlineLevel="0" collapsed="false">
      <c r="A132" s="2" t="str">
        <f aca="false">HYPERLINK("https://www.fabsurplus.com/sdi_catalog/salesItemDetails.do?id=76611")</f>
        <v>https://www.fabsurplus.com/sdi_catalog/salesItemDetails.do?id=76611</v>
      </c>
      <c r="B132" s="2" t="s">
        <v>474</v>
      </c>
      <c r="C132" s="2" t="s">
        <v>475</v>
      </c>
      <c r="D132" s="2" t="s">
        <v>476</v>
      </c>
      <c r="E132" s="2" t="s">
        <v>477</v>
      </c>
      <c r="F132" s="2" t="s">
        <v>16</v>
      </c>
      <c r="G132" s="2" t="s">
        <v>478</v>
      </c>
      <c r="H132" s="2" t="s">
        <v>33</v>
      </c>
      <c r="I132" s="2"/>
      <c r="J132" s="2" t="s">
        <v>19</v>
      </c>
      <c r="K132" s="2" t="s">
        <v>20</v>
      </c>
      <c r="L132" s="2" t="s">
        <v>21</v>
      </c>
    </row>
    <row r="133" customFormat="false" ht="12.8" hidden="false" customHeight="false" outlineLevel="0" collapsed="false">
      <c r="A133" s="4" t="str">
        <f aca="false">HYPERLINK("https://www.fabsurplus.com/sdi_catalog/salesItemDetails.do?id=87607")</f>
        <v>https://www.fabsurplus.com/sdi_catalog/salesItemDetails.do?id=87607</v>
      </c>
      <c r="B133" s="4" t="s">
        <v>479</v>
      </c>
      <c r="C133" s="4" t="s">
        <v>480</v>
      </c>
      <c r="D133" s="4" t="s">
        <v>481</v>
      </c>
      <c r="E133" s="4" t="s">
        <v>482</v>
      </c>
      <c r="F133" s="4" t="s">
        <v>16</v>
      </c>
      <c r="G133" s="4" t="s">
        <v>228</v>
      </c>
      <c r="H133" s="4" t="s">
        <v>33</v>
      </c>
      <c r="I133" s="5" t="n">
        <v>35186</v>
      </c>
      <c r="J133" s="4" t="s">
        <v>19</v>
      </c>
      <c r="K133" s="4" t="s">
        <v>20</v>
      </c>
      <c r="L133" s="4" t="s">
        <v>21</v>
      </c>
    </row>
    <row r="134" customFormat="false" ht="12.8" hidden="false" customHeight="false" outlineLevel="0" collapsed="false">
      <c r="A134" s="2" t="str">
        <f aca="false">HYPERLINK("https://www.fabsurplus.com/sdi_catalog/salesItemDetails.do?id=89968")</f>
        <v>https://www.fabsurplus.com/sdi_catalog/salesItemDetails.do?id=89968</v>
      </c>
      <c r="B134" s="2" t="s">
        <v>483</v>
      </c>
      <c r="C134" s="2" t="s">
        <v>480</v>
      </c>
      <c r="D134" s="2" t="s">
        <v>484</v>
      </c>
      <c r="E134" s="2" t="s">
        <v>485</v>
      </c>
      <c r="F134" s="2" t="s">
        <v>16</v>
      </c>
      <c r="G134" s="2" t="s">
        <v>228</v>
      </c>
      <c r="H134" s="2" t="s">
        <v>18</v>
      </c>
      <c r="I134" s="2"/>
      <c r="J134" s="2" t="s">
        <v>19</v>
      </c>
      <c r="K134" s="2" t="s">
        <v>20</v>
      </c>
      <c r="L134" s="2" t="s">
        <v>21</v>
      </c>
    </row>
    <row r="135" customFormat="false" ht="12.8" hidden="false" customHeight="false" outlineLevel="0" collapsed="false">
      <c r="A135" s="4" t="str">
        <f aca="false">HYPERLINK("https://www.fabsurplus.com/sdi_catalog/salesItemDetails.do?id=73208")</f>
        <v>https://www.fabsurplus.com/sdi_catalog/salesItemDetails.do?id=73208</v>
      </c>
      <c r="B135" s="4" t="s">
        <v>486</v>
      </c>
      <c r="C135" s="4" t="s">
        <v>487</v>
      </c>
      <c r="D135" s="4" t="s">
        <v>488</v>
      </c>
      <c r="E135" s="4" t="s">
        <v>489</v>
      </c>
      <c r="F135" s="4" t="s">
        <v>16</v>
      </c>
      <c r="G135" s="4" t="s">
        <v>490</v>
      </c>
      <c r="H135" s="4" t="s">
        <v>18</v>
      </c>
      <c r="I135" s="5" t="n">
        <v>36069</v>
      </c>
      <c r="J135" s="4" t="s">
        <v>19</v>
      </c>
      <c r="K135" s="4" t="s">
        <v>20</v>
      </c>
      <c r="L135" s="4" t="s">
        <v>116</v>
      </c>
    </row>
    <row r="136" customFormat="false" ht="12.8" hidden="false" customHeight="false" outlineLevel="0" collapsed="false">
      <c r="A136" s="2" t="str">
        <f aca="false">HYPERLINK("https://www.fabsurplus.com/sdi_catalog/salesItemDetails.do?id=83505")</f>
        <v>https://www.fabsurplus.com/sdi_catalog/salesItemDetails.do?id=83505</v>
      </c>
      <c r="B136" s="2" t="s">
        <v>491</v>
      </c>
      <c r="C136" s="2" t="s">
        <v>492</v>
      </c>
      <c r="D136" s="2" t="s">
        <v>493</v>
      </c>
      <c r="E136" s="2" t="s">
        <v>494</v>
      </c>
      <c r="F136" s="2" t="s">
        <v>211</v>
      </c>
      <c r="G136" s="2" t="s">
        <v>493</v>
      </c>
      <c r="H136" s="2" t="s">
        <v>33</v>
      </c>
      <c r="I136" s="3" t="n">
        <v>34669</v>
      </c>
      <c r="J136" s="2" t="s">
        <v>19</v>
      </c>
      <c r="K136" s="2" t="s">
        <v>20</v>
      </c>
      <c r="L136" s="2" t="s">
        <v>495</v>
      </c>
    </row>
    <row r="137" customFormat="false" ht="12.8" hidden="false" customHeight="false" outlineLevel="0" collapsed="false">
      <c r="A137" s="4" t="str">
        <f aca="false">HYPERLINK("https://www.fabsurplus.com/sdi_catalog/salesItemDetails.do?id=71904")</f>
        <v>https://www.fabsurplus.com/sdi_catalog/salesItemDetails.do?id=71904</v>
      </c>
      <c r="B137" s="4" t="s">
        <v>496</v>
      </c>
      <c r="C137" s="4" t="s">
        <v>497</v>
      </c>
      <c r="D137" s="4" t="s">
        <v>498</v>
      </c>
      <c r="E137" s="4" t="s">
        <v>499</v>
      </c>
      <c r="F137" s="4" t="s">
        <v>16</v>
      </c>
      <c r="G137" s="4"/>
      <c r="H137" s="4"/>
      <c r="I137" s="4"/>
      <c r="J137" s="4" t="s">
        <v>19</v>
      </c>
      <c r="K137" s="4"/>
      <c r="L137" s="4" t="s">
        <v>21</v>
      </c>
    </row>
    <row r="138" customFormat="false" ht="12.8" hidden="false" customHeight="false" outlineLevel="0" collapsed="false">
      <c r="A138" s="2" t="str">
        <f aca="false">HYPERLINK("https://www.fabsurplus.com/sdi_catalog/salesItemDetails.do?id=71908")</f>
        <v>https://www.fabsurplus.com/sdi_catalog/salesItemDetails.do?id=71908</v>
      </c>
      <c r="B138" s="2" t="s">
        <v>500</v>
      </c>
      <c r="C138" s="2" t="s">
        <v>497</v>
      </c>
      <c r="D138" s="2" t="s">
        <v>501</v>
      </c>
      <c r="E138" s="2" t="s">
        <v>502</v>
      </c>
      <c r="F138" s="2" t="s">
        <v>211</v>
      </c>
      <c r="G138" s="2" t="s">
        <v>43</v>
      </c>
      <c r="H138" s="2" t="s">
        <v>33</v>
      </c>
      <c r="I138" s="2"/>
      <c r="J138" s="2" t="s">
        <v>19</v>
      </c>
      <c r="K138" s="2" t="s">
        <v>20</v>
      </c>
      <c r="L138" s="2" t="s">
        <v>21</v>
      </c>
    </row>
    <row r="139" customFormat="false" ht="12.8" hidden="false" customHeight="false" outlineLevel="0" collapsed="false">
      <c r="A139" s="4" t="str">
        <f aca="false">HYPERLINK("https://www.fabsurplus.com/sdi_catalog/salesItemDetails.do?id=71910")</f>
        <v>https://www.fabsurplus.com/sdi_catalog/salesItemDetails.do?id=71910</v>
      </c>
      <c r="B139" s="4" t="s">
        <v>503</v>
      </c>
      <c r="C139" s="4" t="s">
        <v>497</v>
      </c>
      <c r="D139" s="4" t="s">
        <v>504</v>
      </c>
      <c r="E139" s="4" t="s">
        <v>505</v>
      </c>
      <c r="F139" s="4" t="s">
        <v>16</v>
      </c>
      <c r="G139" s="4" t="s">
        <v>38</v>
      </c>
      <c r="H139" s="4" t="s">
        <v>33</v>
      </c>
      <c r="I139" s="5" t="n">
        <v>39600</v>
      </c>
      <c r="J139" s="4" t="s">
        <v>19</v>
      </c>
      <c r="K139" s="4" t="s">
        <v>20</v>
      </c>
      <c r="L139" s="4" t="s">
        <v>48</v>
      </c>
    </row>
    <row r="140" customFormat="false" ht="12.8" hidden="false" customHeight="false" outlineLevel="0" collapsed="false">
      <c r="A140" s="2" t="str">
        <f aca="false">HYPERLINK("https://www.fabsurplus.com/sdi_catalog/salesItemDetails.do?id=78133")</f>
        <v>https://www.fabsurplus.com/sdi_catalog/salesItemDetails.do?id=78133</v>
      </c>
      <c r="B140" s="2" t="s">
        <v>506</v>
      </c>
      <c r="C140" s="2" t="s">
        <v>497</v>
      </c>
      <c r="D140" s="2" t="s">
        <v>507</v>
      </c>
      <c r="E140" s="2" t="s">
        <v>508</v>
      </c>
      <c r="F140" s="2" t="s">
        <v>16</v>
      </c>
      <c r="G140" s="2" t="s">
        <v>75</v>
      </c>
      <c r="H140" s="2" t="s">
        <v>18</v>
      </c>
      <c r="I140" s="3" t="n">
        <v>39234</v>
      </c>
      <c r="J140" s="2" t="s">
        <v>19</v>
      </c>
      <c r="K140" s="2" t="s">
        <v>20</v>
      </c>
      <c r="L140" s="2" t="s">
        <v>21</v>
      </c>
    </row>
    <row r="141" customFormat="false" ht="12.8" hidden="false" customHeight="false" outlineLevel="0" collapsed="false">
      <c r="A141" s="4" t="str">
        <f aca="false">HYPERLINK("https://www.fabsurplus.com/sdi_catalog/salesItemDetails.do?id=78137")</f>
        <v>https://www.fabsurplus.com/sdi_catalog/salesItemDetails.do?id=78137</v>
      </c>
      <c r="B141" s="4" t="s">
        <v>509</v>
      </c>
      <c r="C141" s="4" t="s">
        <v>497</v>
      </c>
      <c r="D141" s="4" t="s">
        <v>507</v>
      </c>
      <c r="E141" s="4" t="s">
        <v>510</v>
      </c>
      <c r="F141" s="4" t="s">
        <v>16</v>
      </c>
      <c r="G141" s="4" t="s">
        <v>75</v>
      </c>
      <c r="H141" s="4" t="s">
        <v>18</v>
      </c>
      <c r="I141" s="4"/>
      <c r="J141" s="4" t="s">
        <v>19</v>
      </c>
      <c r="K141" s="4" t="s">
        <v>20</v>
      </c>
      <c r="L141" s="4" t="s">
        <v>21</v>
      </c>
    </row>
    <row r="142" customFormat="false" ht="12.8" hidden="false" customHeight="false" outlineLevel="0" collapsed="false">
      <c r="A142" s="2" t="str">
        <f aca="false">HYPERLINK("https://www.fabsurplus.com/sdi_catalog/salesItemDetails.do?id=78138")</f>
        <v>https://www.fabsurplus.com/sdi_catalog/salesItemDetails.do?id=78138</v>
      </c>
      <c r="B142" s="2" t="s">
        <v>511</v>
      </c>
      <c r="C142" s="2" t="s">
        <v>497</v>
      </c>
      <c r="D142" s="2" t="s">
        <v>512</v>
      </c>
      <c r="E142" s="2" t="s">
        <v>513</v>
      </c>
      <c r="F142" s="2" t="s">
        <v>16</v>
      </c>
      <c r="G142" s="2" t="s">
        <v>75</v>
      </c>
      <c r="H142" s="2" t="s">
        <v>33</v>
      </c>
      <c r="I142" s="3" t="n">
        <v>39173</v>
      </c>
      <c r="J142" s="2" t="s">
        <v>19</v>
      </c>
      <c r="K142" s="2" t="s">
        <v>20</v>
      </c>
      <c r="L142" s="2" t="s">
        <v>21</v>
      </c>
    </row>
    <row r="143" customFormat="false" ht="12.8" hidden="false" customHeight="false" outlineLevel="0" collapsed="false">
      <c r="A143" s="4" t="str">
        <f aca="false">HYPERLINK("https://www.fabsurplus.com/sdi_catalog/salesItemDetails.do?id=80177")</f>
        <v>https://www.fabsurplus.com/sdi_catalog/salesItemDetails.do?id=80177</v>
      </c>
      <c r="B143" s="4" t="s">
        <v>514</v>
      </c>
      <c r="C143" s="4" t="s">
        <v>497</v>
      </c>
      <c r="D143" s="4" t="s">
        <v>507</v>
      </c>
      <c r="E143" s="4" t="s">
        <v>515</v>
      </c>
      <c r="F143" s="4" t="s">
        <v>16</v>
      </c>
      <c r="G143" s="4" t="s">
        <v>75</v>
      </c>
      <c r="H143" s="4" t="s">
        <v>18</v>
      </c>
      <c r="I143" s="5" t="n">
        <v>39356.0833333333</v>
      </c>
      <c r="J143" s="4" t="s">
        <v>19</v>
      </c>
      <c r="K143" s="4" t="s">
        <v>20</v>
      </c>
      <c r="L143" s="4" t="s">
        <v>21</v>
      </c>
    </row>
    <row r="144" customFormat="false" ht="12.8" hidden="false" customHeight="false" outlineLevel="0" collapsed="false">
      <c r="A144" s="2" t="str">
        <f aca="false">HYPERLINK("https://www.fabsurplus.com/sdi_catalog/salesItemDetails.do?id=80178")</f>
        <v>https://www.fabsurplus.com/sdi_catalog/salesItemDetails.do?id=80178</v>
      </c>
      <c r="B144" s="2" t="s">
        <v>516</v>
      </c>
      <c r="C144" s="2" t="s">
        <v>497</v>
      </c>
      <c r="D144" s="2" t="s">
        <v>507</v>
      </c>
      <c r="E144" s="2" t="s">
        <v>515</v>
      </c>
      <c r="F144" s="2" t="s">
        <v>16</v>
      </c>
      <c r="G144" s="2" t="s">
        <v>75</v>
      </c>
      <c r="H144" s="2" t="s">
        <v>18</v>
      </c>
      <c r="I144" s="3" t="n">
        <v>39356.0833333333</v>
      </c>
      <c r="J144" s="2" t="s">
        <v>19</v>
      </c>
      <c r="K144" s="2" t="s">
        <v>20</v>
      </c>
      <c r="L144" s="2" t="s">
        <v>21</v>
      </c>
    </row>
    <row r="145" customFormat="false" ht="12.8" hidden="false" customHeight="false" outlineLevel="0" collapsed="false">
      <c r="A145" s="4" t="str">
        <f aca="false">HYPERLINK("https://www.fabsurplus.com/sdi_catalog/salesItemDetails.do?id=80179")</f>
        <v>https://www.fabsurplus.com/sdi_catalog/salesItemDetails.do?id=80179</v>
      </c>
      <c r="B145" s="4" t="s">
        <v>517</v>
      </c>
      <c r="C145" s="4" t="s">
        <v>497</v>
      </c>
      <c r="D145" s="4" t="s">
        <v>507</v>
      </c>
      <c r="E145" s="4" t="s">
        <v>515</v>
      </c>
      <c r="F145" s="4" t="s">
        <v>16</v>
      </c>
      <c r="G145" s="4" t="s">
        <v>75</v>
      </c>
      <c r="H145" s="4" t="s">
        <v>18</v>
      </c>
      <c r="I145" s="5" t="n">
        <v>39356.0833333333</v>
      </c>
      <c r="J145" s="4" t="s">
        <v>19</v>
      </c>
      <c r="K145" s="4" t="s">
        <v>20</v>
      </c>
      <c r="L145" s="4" t="s">
        <v>21</v>
      </c>
    </row>
    <row r="146" customFormat="false" ht="12.8" hidden="false" customHeight="false" outlineLevel="0" collapsed="false">
      <c r="A146" s="2" t="str">
        <f aca="false">HYPERLINK("https://www.fabsurplus.com/sdi_catalog/salesItemDetails.do?id=80180")</f>
        <v>https://www.fabsurplus.com/sdi_catalog/salesItemDetails.do?id=80180</v>
      </c>
      <c r="B146" s="2" t="s">
        <v>518</v>
      </c>
      <c r="C146" s="2" t="s">
        <v>497</v>
      </c>
      <c r="D146" s="2" t="s">
        <v>507</v>
      </c>
      <c r="E146" s="2" t="s">
        <v>515</v>
      </c>
      <c r="F146" s="2" t="s">
        <v>16</v>
      </c>
      <c r="G146" s="2" t="s">
        <v>75</v>
      </c>
      <c r="H146" s="2" t="s">
        <v>18</v>
      </c>
      <c r="I146" s="3" t="n">
        <v>39356.0833333333</v>
      </c>
      <c r="J146" s="2" t="s">
        <v>19</v>
      </c>
      <c r="K146" s="2" t="s">
        <v>20</v>
      </c>
      <c r="L146" s="2" t="s">
        <v>21</v>
      </c>
    </row>
    <row r="147" customFormat="false" ht="12.8" hidden="false" customHeight="false" outlineLevel="0" collapsed="false">
      <c r="A147" s="4" t="str">
        <f aca="false">HYPERLINK("https://www.fabsurplus.com/sdi_catalog/salesItemDetails.do?id=80181")</f>
        <v>https://www.fabsurplus.com/sdi_catalog/salesItemDetails.do?id=80181</v>
      </c>
      <c r="B147" s="4" t="s">
        <v>519</v>
      </c>
      <c r="C147" s="4" t="s">
        <v>497</v>
      </c>
      <c r="D147" s="4" t="s">
        <v>507</v>
      </c>
      <c r="E147" s="4" t="s">
        <v>515</v>
      </c>
      <c r="F147" s="4" t="s">
        <v>16</v>
      </c>
      <c r="G147" s="4" t="s">
        <v>75</v>
      </c>
      <c r="H147" s="4" t="s">
        <v>18</v>
      </c>
      <c r="I147" s="5" t="n">
        <v>39356.0833333333</v>
      </c>
      <c r="J147" s="4" t="s">
        <v>19</v>
      </c>
      <c r="K147" s="4" t="s">
        <v>20</v>
      </c>
      <c r="L147" s="4" t="s">
        <v>21</v>
      </c>
    </row>
    <row r="148" customFormat="false" ht="12.8" hidden="false" customHeight="false" outlineLevel="0" collapsed="false">
      <c r="A148" s="2" t="str">
        <f aca="false">HYPERLINK("https://www.fabsurplus.com/sdi_catalog/salesItemDetails.do?id=80182")</f>
        <v>https://www.fabsurplus.com/sdi_catalog/salesItemDetails.do?id=80182</v>
      </c>
      <c r="B148" s="2" t="s">
        <v>520</v>
      </c>
      <c r="C148" s="2" t="s">
        <v>497</v>
      </c>
      <c r="D148" s="2" t="s">
        <v>507</v>
      </c>
      <c r="E148" s="2" t="s">
        <v>515</v>
      </c>
      <c r="F148" s="2" t="s">
        <v>16</v>
      </c>
      <c r="G148" s="2" t="s">
        <v>75</v>
      </c>
      <c r="H148" s="2" t="s">
        <v>18</v>
      </c>
      <c r="I148" s="3" t="n">
        <v>39356.0833333333</v>
      </c>
      <c r="J148" s="2" t="s">
        <v>19</v>
      </c>
      <c r="K148" s="2" t="s">
        <v>20</v>
      </c>
      <c r="L148" s="2" t="s">
        <v>21</v>
      </c>
    </row>
    <row r="149" customFormat="false" ht="12.8" hidden="false" customHeight="false" outlineLevel="0" collapsed="false">
      <c r="A149" s="4" t="str">
        <f aca="false">HYPERLINK("https://www.fabsurplus.com/sdi_catalog/salesItemDetails.do?id=80183")</f>
        <v>https://www.fabsurplus.com/sdi_catalog/salesItemDetails.do?id=80183</v>
      </c>
      <c r="B149" s="4" t="s">
        <v>521</v>
      </c>
      <c r="C149" s="4" t="s">
        <v>497</v>
      </c>
      <c r="D149" s="4" t="s">
        <v>507</v>
      </c>
      <c r="E149" s="4" t="s">
        <v>515</v>
      </c>
      <c r="F149" s="4" t="s">
        <v>16</v>
      </c>
      <c r="G149" s="4" t="s">
        <v>75</v>
      </c>
      <c r="H149" s="4" t="s">
        <v>18</v>
      </c>
      <c r="I149" s="5" t="n">
        <v>39356.0833333333</v>
      </c>
      <c r="J149" s="4" t="s">
        <v>19</v>
      </c>
      <c r="K149" s="4" t="s">
        <v>20</v>
      </c>
      <c r="L149" s="4" t="s">
        <v>21</v>
      </c>
    </row>
    <row r="150" customFormat="false" ht="12.8" hidden="false" customHeight="false" outlineLevel="0" collapsed="false">
      <c r="A150" s="2" t="str">
        <f aca="false">HYPERLINK("https://www.fabsurplus.com/sdi_catalog/salesItemDetails.do?id=80184")</f>
        <v>https://www.fabsurplus.com/sdi_catalog/salesItemDetails.do?id=80184</v>
      </c>
      <c r="B150" s="2" t="s">
        <v>522</v>
      </c>
      <c r="C150" s="2" t="s">
        <v>497</v>
      </c>
      <c r="D150" s="2" t="s">
        <v>507</v>
      </c>
      <c r="E150" s="2" t="s">
        <v>515</v>
      </c>
      <c r="F150" s="2" t="s">
        <v>16</v>
      </c>
      <c r="G150" s="2" t="s">
        <v>75</v>
      </c>
      <c r="H150" s="2" t="s">
        <v>18</v>
      </c>
      <c r="I150" s="3" t="n">
        <v>39356.0833333333</v>
      </c>
      <c r="J150" s="2" t="s">
        <v>19</v>
      </c>
      <c r="K150" s="2" t="s">
        <v>20</v>
      </c>
      <c r="L150" s="2" t="s">
        <v>21</v>
      </c>
    </row>
    <row r="151" customFormat="false" ht="12.8" hidden="false" customHeight="false" outlineLevel="0" collapsed="false">
      <c r="A151" s="4" t="str">
        <f aca="false">HYPERLINK("https://www.fabsurplus.com/sdi_catalog/salesItemDetails.do?id=86281")</f>
        <v>https://www.fabsurplus.com/sdi_catalog/salesItemDetails.do?id=86281</v>
      </c>
      <c r="B151" s="4" t="s">
        <v>523</v>
      </c>
      <c r="C151" s="4" t="s">
        <v>497</v>
      </c>
      <c r="D151" s="4" t="s">
        <v>524</v>
      </c>
      <c r="E151" s="4" t="s">
        <v>525</v>
      </c>
      <c r="F151" s="4" t="s">
        <v>16</v>
      </c>
      <c r="G151" s="4" t="s">
        <v>526</v>
      </c>
      <c r="H151" s="4" t="s">
        <v>33</v>
      </c>
      <c r="I151" s="4"/>
      <c r="J151" s="4" t="s">
        <v>19</v>
      </c>
      <c r="K151" s="4" t="s">
        <v>20</v>
      </c>
      <c r="L151" s="4" t="s">
        <v>144</v>
      </c>
    </row>
    <row r="152" customFormat="false" ht="12.8" hidden="false" customHeight="false" outlineLevel="0" collapsed="false">
      <c r="A152" s="2" t="str">
        <f aca="false">HYPERLINK("https://www.fabsurplus.com/sdi_catalog/salesItemDetails.do?id=95233")</f>
        <v>https://www.fabsurplus.com/sdi_catalog/salesItemDetails.do?id=95233</v>
      </c>
      <c r="B152" s="2" t="s">
        <v>527</v>
      </c>
      <c r="C152" s="2" t="s">
        <v>497</v>
      </c>
      <c r="D152" s="2" t="s">
        <v>528</v>
      </c>
      <c r="E152" s="2" t="s">
        <v>529</v>
      </c>
      <c r="F152" s="2" t="s">
        <v>16</v>
      </c>
      <c r="G152" s="2" t="s">
        <v>38</v>
      </c>
      <c r="H152" s="2" t="s">
        <v>33</v>
      </c>
      <c r="I152" s="3" t="n">
        <v>38687</v>
      </c>
      <c r="J152" s="2" t="s">
        <v>81</v>
      </c>
      <c r="K152" s="2" t="s">
        <v>20</v>
      </c>
      <c r="L152" s="2" t="s">
        <v>530</v>
      </c>
    </row>
    <row r="153" customFormat="false" ht="12.8" hidden="false" customHeight="false" outlineLevel="0" collapsed="false">
      <c r="A153" s="4" t="str">
        <f aca="false">HYPERLINK("https://www.fabsurplus.com/sdi_catalog/salesItemDetails.do?id=99969")</f>
        <v>https://www.fabsurplus.com/sdi_catalog/salesItemDetails.do?id=99969</v>
      </c>
      <c r="B153" s="4" t="s">
        <v>531</v>
      </c>
      <c r="C153" s="4" t="s">
        <v>497</v>
      </c>
      <c r="D153" s="4" t="s">
        <v>507</v>
      </c>
      <c r="E153" s="4" t="s">
        <v>515</v>
      </c>
      <c r="F153" s="4" t="s">
        <v>16</v>
      </c>
      <c r="G153" s="4" t="s">
        <v>75</v>
      </c>
      <c r="H153" s="4" t="s">
        <v>18</v>
      </c>
      <c r="I153" s="5" t="n">
        <v>38504</v>
      </c>
      <c r="J153" s="4" t="s">
        <v>19</v>
      </c>
      <c r="K153" s="4" t="s">
        <v>20</v>
      </c>
      <c r="L153" s="4" t="s">
        <v>21</v>
      </c>
    </row>
    <row r="154" customFormat="false" ht="12.8" hidden="false" customHeight="false" outlineLevel="0" collapsed="false">
      <c r="A154" s="2" t="str">
        <f aca="false">HYPERLINK("https://www.fabsurplus.com/sdi_catalog/salesItemDetails.do?id=79584")</f>
        <v>https://www.fabsurplus.com/sdi_catalog/salesItemDetails.do?id=79584</v>
      </c>
      <c r="B154" s="2" t="s">
        <v>532</v>
      </c>
      <c r="C154" s="2" t="s">
        <v>533</v>
      </c>
      <c r="D154" s="2" t="s">
        <v>534</v>
      </c>
      <c r="E154" s="2" t="s">
        <v>535</v>
      </c>
      <c r="F154" s="2" t="s">
        <v>16</v>
      </c>
      <c r="G154" s="2" t="s">
        <v>32</v>
      </c>
      <c r="H154" s="2" t="s">
        <v>18</v>
      </c>
      <c r="I154" s="3" t="n">
        <v>34851</v>
      </c>
      <c r="J154" s="2" t="s">
        <v>19</v>
      </c>
      <c r="K154" s="2" t="s">
        <v>20</v>
      </c>
      <c r="L154" s="2" t="s">
        <v>21</v>
      </c>
    </row>
    <row r="155" customFormat="false" ht="12.8" hidden="false" customHeight="false" outlineLevel="0" collapsed="false">
      <c r="A155" s="4" t="str">
        <f aca="false">HYPERLINK("https://www.fabsurplus.com/sdi_catalog/salesItemDetails.do?id=33413")</f>
        <v>https://www.fabsurplus.com/sdi_catalog/salesItemDetails.do?id=33413</v>
      </c>
      <c r="B155" s="4" t="s">
        <v>536</v>
      </c>
      <c r="C155" s="4" t="s">
        <v>537</v>
      </c>
      <c r="D155" s="4" t="s">
        <v>538</v>
      </c>
      <c r="E155" s="4" t="s">
        <v>539</v>
      </c>
      <c r="F155" s="4" t="s">
        <v>16</v>
      </c>
      <c r="G155" s="4" t="s">
        <v>75</v>
      </c>
      <c r="H155" s="4" t="s">
        <v>33</v>
      </c>
      <c r="I155" s="5" t="n">
        <v>38869</v>
      </c>
      <c r="J155" s="4" t="s">
        <v>19</v>
      </c>
      <c r="K155" s="4" t="s">
        <v>20</v>
      </c>
      <c r="L155" s="4" t="s">
        <v>116</v>
      </c>
    </row>
    <row r="156" customFormat="false" ht="12.8" hidden="false" customHeight="false" outlineLevel="0" collapsed="false">
      <c r="A156" s="2" t="str">
        <f aca="false">HYPERLINK("https://www.fabsurplus.com/sdi_catalog/salesItemDetails.do?id=33414")</f>
        <v>https://www.fabsurplus.com/sdi_catalog/salesItemDetails.do?id=33414</v>
      </c>
      <c r="B156" s="2" t="s">
        <v>540</v>
      </c>
      <c r="C156" s="2" t="s">
        <v>537</v>
      </c>
      <c r="D156" s="2" t="s">
        <v>538</v>
      </c>
      <c r="E156" s="2" t="s">
        <v>541</v>
      </c>
      <c r="F156" s="2" t="s">
        <v>16</v>
      </c>
      <c r="G156" s="2" t="s">
        <v>75</v>
      </c>
      <c r="H156" s="2" t="s">
        <v>33</v>
      </c>
      <c r="I156" s="3" t="n">
        <v>38869</v>
      </c>
      <c r="J156" s="2" t="s">
        <v>19</v>
      </c>
      <c r="K156" s="2" t="s">
        <v>20</v>
      </c>
      <c r="L156" s="2" t="s">
        <v>116</v>
      </c>
    </row>
    <row r="157" customFormat="false" ht="12.8" hidden="false" customHeight="false" outlineLevel="0" collapsed="false">
      <c r="A157" s="4" t="str">
        <f aca="false">HYPERLINK("https://www.fabsurplus.com/sdi_catalog/salesItemDetails.do?id=79888")</f>
        <v>https://www.fabsurplus.com/sdi_catalog/salesItemDetails.do?id=79888</v>
      </c>
      <c r="B157" s="4" t="s">
        <v>542</v>
      </c>
      <c r="C157" s="4" t="s">
        <v>543</v>
      </c>
      <c r="D157" s="4" t="s">
        <v>544</v>
      </c>
      <c r="E157" s="4" t="s">
        <v>545</v>
      </c>
      <c r="F157" s="4" t="s">
        <v>16</v>
      </c>
      <c r="G157" s="4" t="s">
        <v>59</v>
      </c>
      <c r="H157" s="4" t="s">
        <v>33</v>
      </c>
      <c r="I157" s="5" t="n">
        <v>37773</v>
      </c>
      <c r="J157" s="4" t="s">
        <v>19</v>
      </c>
      <c r="K157" s="4" t="s">
        <v>20</v>
      </c>
      <c r="L157" s="4" t="s">
        <v>21</v>
      </c>
    </row>
    <row r="158" customFormat="false" ht="12.8" hidden="false" customHeight="false" outlineLevel="0" collapsed="false">
      <c r="A158" s="2" t="str">
        <f aca="false">HYPERLINK("https://www.fabsurplus.com/sdi_catalog/salesItemDetails.do?id=78136")</f>
        <v>https://www.fabsurplus.com/sdi_catalog/salesItemDetails.do?id=78136</v>
      </c>
      <c r="B158" s="2" t="s">
        <v>546</v>
      </c>
      <c r="C158" s="2" t="s">
        <v>547</v>
      </c>
      <c r="D158" s="2" t="s">
        <v>548</v>
      </c>
      <c r="E158" s="2" t="s">
        <v>549</v>
      </c>
      <c r="F158" s="2" t="s">
        <v>16</v>
      </c>
      <c r="G158" s="2"/>
      <c r="H158" s="2" t="s">
        <v>18</v>
      </c>
      <c r="I158" s="3" t="n">
        <v>38687</v>
      </c>
      <c r="J158" s="2" t="s">
        <v>19</v>
      </c>
      <c r="K158" s="2" t="s">
        <v>20</v>
      </c>
      <c r="L158" s="2" t="s">
        <v>21</v>
      </c>
    </row>
    <row r="159" customFormat="false" ht="12.8" hidden="false" customHeight="false" outlineLevel="0" collapsed="false">
      <c r="A159" s="4" t="str">
        <f aca="false">HYPERLINK("https://www.fabsurplus.com/sdi_catalog/salesItemDetails.do?id=80089")</f>
        <v>https://www.fabsurplus.com/sdi_catalog/salesItemDetails.do?id=80089</v>
      </c>
      <c r="B159" s="4" t="s">
        <v>550</v>
      </c>
      <c r="C159" s="4" t="s">
        <v>547</v>
      </c>
      <c r="D159" s="4" t="s">
        <v>548</v>
      </c>
      <c r="E159" s="4" t="s">
        <v>549</v>
      </c>
      <c r="F159" s="4" t="s">
        <v>16</v>
      </c>
      <c r="G159" s="4"/>
      <c r="H159" s="4" t="s">
        <v>33</v>
      </c>
      <c r="I159" s="5" t="n">
        <v>38687</v>
      </c>
      <c r="J159" s="4" t="s">
        <v>19</v>
      </c>
      <c r="K159" s="4" t="s">
        <v>20</v>
      </c>
      <c r="L159" s="4" t="s">
        <v>21</v>
      </c>
    </row>
    <row r="160" customFormat="false" ht="12.8" hidden="false" customHeight="false" outlineLevel="0" collapsed="false">
      <c r="A160" s="2" t="str">
        <f aca="false">HYPERLINK("https://www.fabsurplus.com/sdi_catalog/salesItemDetails.do?id=76613")</f>
        <v>https://www.fabsurplus.com/sdi_catalog/salesItemDetails.do?id=76613</v>
      </c>
      <c r="B160" s="2" t="s">
        <v>551</v>
      </c>
      <c r="C160" s="2" t="s">
        <v>552</v>
      </c>
      <c r="D160" s="2" t="s">
        <v>553</v>
      </c>
      <c r="E160" s="2" t="s">
        <v>554</v>
      </c>
      <c r="F160" s="2" t="s">
        <v>16</v>
      </c>
      <c r="G160" s="2" t="s">
        <v>59</v>
      </c>
      <c r="H160" s="2" t="s">
        <v>33</v>
      </c>
      <c r="I160" s="3" t="n">
        <v>39295</v>
      </c>
      <c r="J160" s="2" t="s">
        <v>81</v>
      </c>
      <c r="K160" s="2" t="s">
        <v>20</v>
      </c>
      <c r="L160" s="2" t="s">
        <v>21</v>
      </c>
    </row>
    <row r="161" customFormat="false" ht="12.8" hidden="false" customHeight="false" outlineLevel="0" collapsed="false">
      <c r="A161" s="4" t="str">
        <f aca="false">HYPERLINK("https://www.fabsurplus.com/sdi_catalog/salesItemDetails.do?id=79590")</f>
        <v>https://www.fabsurplus.com/sdi_catalog/salesItemDetails.do?id=79590</v>
      </c>
      <c r="B161" s="4" t="s">
        <v>555</v>
      </c>
      <c r="C161" s="4" t="s">
        <v>552</v>
      </c>
      <c r="D161" s="4" t="s">
        <v>556</v>
      </c>
      <c r="E161" s="4" t="s">
        <v>557</v>
      </c>
      <c r="F161" s="4" t="s">
        <v>16</v>
      </c>
      <c r="G161" s="4" t="s">
        <v>59</v>
      </c>
      <c r="H161" s="4" t="s">
        <v>33</v>
      </c>
      <c r="I161" s="5" t="n">
        <v>38869</v>
      </c>
      <c r="J161" s="4" t="s">
        <v>19</v>
      </c>
      <c r="K161" s="4" t="s">
        <v>20</v>
      </c>
      <c r="L161" s="4" t="s">
        <v>71</v>
      </c>
    </row>
    <row r="162" customFormat="false" ht="12.8" hidden="false" customHeight="false" outlineLevel="0" collapsed="false">
      <c r="A162" s="2" t="str">
        <f aca="false">HYPERLINK("https://www.fabsurplus.com/sdi_catalog/salesItemDetails.do?id=79597")</f>
        <v>https://www.fabsurplus.com/sdi_catalog/salesItemDetails.do?id=79597</v>
      </c>
      <c r="B162" s="2" t="s">
        <v>558</v>
      </c>
      <c r="C162" s="2" t="s">
        <v>552</v>
      </c>
      <c r="D162" s="2" t="s">
        <v>559</v>
      </c>
      <c r="E162" s="2" t="s">
        <v>560</v>
      </c>
      <c r="F162" s="2" t="s">
        <v>16</v>
      </c>
      <c r="G162" s="2" t="s">
        <v>59</v>
      </c>
      <c r="H162" s="2" t="s">
        <v>33</v>
      </c>
      <c r="I162" s="3" t="n">
        <v>39234</v>
      </c>
      <c r="J162" s="2" t="s">
        <v>19</v>
      </c>
      <c r="K162" s="2" t="s">
        <v>20</v>
      </c>
      <c r="L162" s="2" t="s">
        <v>21</v>
      </c>
    </row>
    <row r="163" customFormat="false" ht="12.8" hidden="false" customHeight="false" outlineLevel="0" collapsed="false">
      <c r="A163" s="4" t="str">
        <f aca="false">HYPERLINK("https://www.fabsurplus.com/sdi_catalog/salesItemDetails.do?id=79599")</f>
        <v>https://www.fabsurplus.com/sdi_catalog/salesItemDetails.do?id=79599</v>
      </c>
      <c r="B163" s="4" t="s">
        <v>561</v>
      </c>
      <c r="C163" s="4" t="s">
        <v>552</v>
      </c>
      <c r="D163" s="4" t="s">
        <v>562</v>
      </c>
      <c r="E163" s="4" t="s">
        <v>563</v>
      </c>
      <c r="F163" s="4" t="s">
        <v>16</v>
      </c>
      <c r="G163" s="4" t="s">
        <v>59</v>
      </c>
      <c r="H163" s="4" t="s">
        <v>18</v>
      </c>
      <c r="I163" s="5" t="n">
        <v>36923</v>
      </c>
      <c r="J163" s="4" t="s">
        <v>19</v>
      </c>
      <c r="K163" s="4" t="s">
        <v>20</v>
      </c>
      <c r="L163" s="4" t="s">
        <v>21</v>
      </c>
    </row>
    <row r="164" customFormat="false" ht="12.8" hidden="false" customHeight="false" outlineLevel="0" collapsed="false">
      <c r="A164" s="2" t="str">
        <f aca="false">HYPERLINK("https://www.fabsurplus.com/sdi_catalog/salesItemDetails.do?id=79601")</f>
        <v>https://www.fabsurplus.com/sdi_catalog/salesItemDetails.do?id=79601</v>
      </c>
      <c r="B164" s="2" t="s">
        <v>564</v>
      </c>
      <c r="C164" s="2" t="s">
        <v>552</v>
      </c>
      <c r="D164" s="2" t="s">
        <v>565</v>
      </c>
      <c r="E164" s="2" t="s">
        <v>566</v>
      </c>
      <c r="F164" s="2" t="s">
        <v>16</v>
      </c>
      <c r="G164" s="2" t="s">
        <v>59</v>
      </c>
      <c r="H164" s="2" t="s">
        <v>18</v>
      </c>
      <c r="I164" s="2"/>
      <c r="J164" s="2" t="s">
        <v>19</v>
      </c>
      <c r="K164" s="2" t="s">
        <v>20</v>
      </c>
      <c r="L164" s="2" t="s">
        <v>21</v>
      </c>
    </row>
    <row r="165" customFormat="false" ht="12.8" hidden="false" customHeight="false" outlineLevel="0" collapsed="false">
      <c r="A165" s="4" t="str">
        <f aca="false">HYPERLINK("https://www.fabsurplus.com/sdi_catalog/salesItemDetails.do?id=2181")</f>
        <v>https://www.fabsurplus.com/sdi_catalog/salesItemDetails.do?id=2181</v>
      </c>
      <c r="B165" s="4" t="s">
        <v>567</v>
      </c>
      <c r="C165" s="4" t="s">
        <v>568</v>
      </c>
      <c r="D165" s="4" t="s">
        <v>569</v>
      </c>
      <c r="E165" s="4" t="s">
        <v>570</v>
      </c>
      <c r="F165" s="4" t="s">
        <v>16</v>
      </c>
      <c r="G165" s="4" t="s">
        <v>372</v>
      </c>
      <c r="H165" s="4" t="s">
        <v>167</v>
      </c>
      <c r="I165" s="5" t="n">
        <v>33939</v>
      </c>
      <c r="J165" s="4" t="s">
        <v>81</v>
      </c>
      <c r="K165" s="4" t="s">
        <v>20</v>
      </c>
      <c r="L165" s="4" t="s">
        <v>21</v>
      </c>
    </row>
    <row r="166" customFormat="false" ht="12.8" hidden="false" customHeight="false" outlineLevel="0" collapsed="false">
      <c r="A166" s="2" t="str">
        <f aca="false">HYPERLINK("https://www.fabsurplus.com/sdi_catalog/salesItemDetails.do?id=21064")</f>
        <v>https://www.fabsurplus.com/sdi_catalog/salesItemDetails.do?id=21064</v>
      </c>
      <c r="B166" s="2" t="s">
        <v>571</v>
      </c>
      <c r="C166" s="2" t="s">
        <v>568</v>
      </c>
      <c r="D166" s="2" t="s">
        <v>572</v>
      </c>
      <c r="E166" s="2" t="s">
        <v>573</v>
      </c>
      <c r="F166" s="2" t="s">
        <v>16</v>
      </c>
      <c r="G166" s="2" t="s">
        <v>32</v>
      </c>
      <c r="H166" s="2" t="s">
        <v>18</v>
      </c>
      <c r="I166" s="3" t="n">
        <v>35309</v>
      </c>
      <c r="J166" s="2" t="s">
        <v>19</v>
      </c>
      <c r="K166" s="2" t="s">
        <v>20</v>
      </c>
      <c r="L166" s="2" t="s">
        <v>21</v>
      </c>
    </row>
    <row r="167" customFormat="false" ht="12.8" hidden="false" customHeight="false" outlineLevel="0" collapsed="false">
      <c r="A167" s="4" t="str">
        <f aca="false">HYPERLINK("https://www.fabsurplus.com/sdi_catalog/salesItemDetails.do?id=21270")</f>
        <v>https://www.fabsurplus.com/sdi_catalog/salesItemDetails.do?id=21270</v>
      </c>
      <c r="B167" s="4" t="s">
        <v>574</v>
      </c>
      <c r="C167" s="4" t="s">
        <v>568</v>
      </c>
      <c r="D167" s="4" t="s">
        <v>575</v>
      </c>
      <c r="E167" s="4" t="s">
        <v>576</v>
      </c>
      <c r="F167" s="4" t="s">
        <v>16</v>
      </c>
      <c r="G167" s="4" t="s">
        <v>32</v>
      </c>
      <c r="H167" s="4" t="s">
        <v>33</v>
      </c>
      <c r="I167" s="5" t="n">
        <v>35309</v>
      </c>
      <c r="J167" s="4" t="s">
        <v>19</v>
      </c>
      <c r="K167" s="4" t="s">
        <v>20</v>
      </c>
      <c r="L167" s="4" t="s">
        <v>21</v>
      </c>
    </row>
    <row r="168" customFormat="false" ht="12.8" hidden="false" customHeight="false" outlineLevel="0" collapsed="false">
      <c r="A168" s="2" t="str">
        <f aca="false">HYPERLINK("https://www.fabsurplus.com/sdi_catalog/salesItemDetails.do?id=78124")</f>
        <v>https://www.fabsurplus.com/sdi_catalog/salesItemDetails.do?id=78124</v>
      </c>
      <c r="B168" s="2" t="s">
        <v>577</v>
      </c>
      <c r="C168" s="2" t="s">
        <v>568</v>
      </c>
      <c r="D168" s="2" t="s">
        <v>578</v>
      </c>
      <c r="E168" s="2" t="s">
        <v>579</v>
      </c>
      <c r="F168" s="2" t="s">
        <v>16</v>
      </c>
      <c r="G168" s="2" t="s">
        <v>100</v>
      </c>
      <c r="H168" s="2" t="s">
        <v>18</v>
      </c>
      <c r="I168" s="3" t="n">
        <v>35309</v>
      </c>
      <c r="J168" s="2" t="s">
        <v>19</v>
      </c>
      <c r="K168" s="2" t="s">
        <v>20</v>
      </c>
      <c r="L168" s="2" t="s">
        <v>21</v>
      </c>
    </row>
    <row r="169" customFormat="false" ht="12.8" hidden="false" customHeight="false" outlineLevel="0" collapsed="false">
      <c r="A169" s="4" t="str">
        <f aca="false">HYPERLINK("https://www.fabsurplus.com/sdi_catalog/salesItemDetails.do?id=78131")</f>
        <v>https://www.fabsurplus.com/sdi_catalog/salesItemDetails.do?id=78131</v>
      </c>
      <c r="B169" s="4" t="s">
        <v>580</v>
      </c>
      <c r="C169" s="4" t="s">
        <v>568</v>
      </c>
      <c r="D169" s="4" t="s">
        <v>581</v>
      </c>
      <c r="E169" s="4" t="s">
        <v>582</v>
      </c>
      <c r="F169" s="4" t="s">
        <v>16</v>
      </c>
      <c r="G169" s="4" t="s">
        <v>100</v>
      </c>
      <c r="H169" s="4" t="s">
        <v>18</v>
      </c>
      <c r="I169" s="5" t="n">
        <v>36770</v>
      </c>
      <c r="J169" s="4" t="s">
        <v>19</v>
      </c>
      <c r="K169" s="4" t="s">
        <v>20</v>
      </c>
      <c r="L169" s="4" t="s">
        <v>21</v>
      </c>
    </row>
    <row r="170" customFormat="false" ht="12.8" hidden="false" customHeight="false" outlineLevel="0" collapsed="false">
      <c r="A170" s="2" t="str">
        <f aca="false">HYPERLINK("https://www.fabsurplus.com/sdi_catalog/salesItemDetails.do?id=54232")</f>
        <v>https://www.fabsurplus.com/sdi_catalog/salesItemDetails.do?id=54232</v>
      </c>
      <c r="B170" s="2" t="s">
        <v>583</v>
      </c>
      <c r="C170" s="2" t="s">
        <v>584</v>
      </c>
      <c r="D170" s="2" t="s">
        <v>585</v>
      </c>
      <c r="E170" s="2" t="s">
        <v>586</v>
      </c>
      <c r="F170" s="2" t="s">
        <v>16</v>
      </c>
      <c r="G170" s="2" t="s">
        <v>75</v>
      </c>
      <c r="H170" s="2" t="s">
        <v>33</v>
      </c>
      <c r="I170" s="3" t="n">
        <v>36678</v>
      </c>
      <c r="J170" s="2" t="s">
        <v>19</v>
      </c>
      <c r="K170" s="2" t="s">
        <v>20</v>
      </c>
      <c r="L170" s="2" t="s">
        <v>213</v>
      </c>
    </row>
    <row r="171" customFormat="false" ht="12.8" hidden="false" customHeight="false" outlineLevel="0" collapsed="false">
      <c r="A171" s="4" t="str">
        <f aca="false">HYPERLINK("https://www.fabsurplus.com/sdi_catalog/salesItemDetails.do?id=78361")</f>
        <v>https://www.fabsurplus.com/sdi_catalog/salesItemDetails.do?id=78361</v>
      </c>
      <c r="B171" s="4" t="s">
        <v>587</v>
      </c>
      <c r="C171" s="4" t="s">
        <v>584</v>
      </c>
      <c r="D171" s="4" t="s">
        <v>588</v>
      </c>
      <c r="E171" s="4" t="s">
        <v>589</v>
      </c>
      <c r="F171" s="4" t="s">
        <v>16</v>
      </c>
      <c r="G171" s="4" t="s">
        <v>43</v>
      </c>
      <c r="H171" s="4" t="s">
        <v>167</v>
      </c>
      <c r="I171" s="5" t="n">
        <v>35462</v>
      </c>
      <c r="J171" s="4" t="s">
        <v>19</v>
      </c>
      <c r="K171" s="4" t="s">
        <v>20</v>
      </c>
      <c r="L171" s="4" t="s">
        <v>39</v>
      </c>
    </row>
    <row r="172" customFormat="false" ht="12.8" hidden="false" customHeight="false" outlineLevel="0" collapsed="false">
      <c r="A172" s="2" t="str">
        <f aca="false">HYPERLINK("https://www.fabsurplus.com/sdi_catalog/salesItemDetails.do?id=87615")</f>
        <v>https://www.fabsurplus.com/sdi_catalog/salesItemDetails.do?id=87615</v>
      </c>
      <c r="B172" s="2" t="s">
        <v>590</v>
      </c>
      <c r="C172" s="2" t="s">
        <v>591</v>
      </c>
      <c r="D172" s="2" t="s">
        <v>592</v>
      </c>
      <c r="E172" s="2" t="s">
        <v>593</v>
      </c>
      <c r="F172" s="2" t="s">
        <v>16</v>
      </c>
      <c r="G172" s="2" t="s">
        <v>43</v>
      </c>
      <c r="H172" s="2" t="s">
        <v>18</v>
      </c>
      <c r="I172" s="3" t="n">
        <v>33756</v>
      </c>
      <c r="J172" s="2" t="s">
        <v>19</v>
      </c>
      <c r="K172" s="2" t="s">
        <v>20</v>
      </c>
      <c r="L172" s="2" t="s">
        <v>594</v>
      </c>
    </row>
    <row r="173" customFormat="false" ht="12.8" hidden="false" customHeight="false" outlineLevel="0" collapsed="false">
      <c r="A173" s="4" t="str">
        <f aca="false">HYPERLINK("https://www.fabsurplus.com/sdi_catalog/salesItemDetails.do?id=84082")</f>
        <v>https://www.fabsurplus.com/sdi_catalog/salesItemDetails.do?id=84082</v>
      </c>
      <c r="B173" s="4" t="s">
        <v>595</v>
      </c>
      <c r="C173" s="4" t="s">
        <v>596</v>
      </c>
      <c r="D173" s="4" t="s">
        <v>597</v>
      </c>
      <c r="E173" s="4" t="s">
        <v>598</v>
      </c>
      <c r="F173" s="4" t="s">
        <v>16</v>
      </c>
      <c r="G173" s="4" t="s">
        <v>183</v>
      </c>
      <c r="H173" s="4" t="s">
        <v>453</v>
      </c>
      <c r="I173" s="5" t="n">
        <v>36312</v>
      </c>
      <c r="J173" s="4" t="s">
        <v>19</v>
      </c>
      <c r="K173" s="4" t="s">
        <v>20</v>
      </c>
      <c r="L173" s="4" t="s">
        <v>599</v>
      </c>
    </row>
    <row r="174" customFormat="false" ht="12.8" hidden="false" customHeight="false" outlineLevel="0" collapsed="false">
      <c r="A174" s="2" t="str">
        <f aca="false">HYPERLINK("https://www.fabsurplus.com/sdi_catalog/salesItemDetails.do?id=92468")</f>
        <v>https://www.fabsurplus.com/sdi_catalog/salesItemDetails.do?id=92468</v>
      </c>
      <c r="B174" s="2" t="s">
        <v>600</v>
      </c>
      <c r="C174" s="2" t="s">
        <v>596</v>
      </c>
      <c r="D174" s="2" t="s">
        <v>601</v>
      </c>
      <c r="E174" s="2" t="s">
        <v>602</v>
      </c>
      <c r="F174" s="2" t="s">
        <v>16</v>
      </c>
      <c r="G174" s="2" t="s">
        <v>47</v>
      </c>
      <c r="H174" s="2" t="s">
        <v>18</v>
      </c>
      <c r="I174" s="3" t="n">
        <v>34912</v>
      </c>
      <c r="J174" s="2" t="s">
        <v>19</v>
      </c>
      <c r="K174" s="2" t="s">
        <v>20</v>
      </c>
      <c r="L174" s="2" t="s">
        <v>21</v>
      </c>
    </row>
    <row r="175" customFormat="false" ht="12.8" hidden="false" customHeight="false" outlineLevel="0" collapsed="false">
      <c r="A175" s="4" t="str">
        <f aca="false">HYPERLINK("https://www.fabsurplus.com/sdi_catalog/salesItemDetails.do?id=95409")</f>
        <v>https://www.fabsurplus.com/sdi_catalog/salesItemDetails.do?id=95409</v>
      </c>
      <c r="B175" s="4" t="s">
        <v>603</v>
      </c>
      <c r="C175" s="4" t="s">
        <v>596</v>
      </c>
      <c r="D175" s="4" t="s">
        <v>597</v>
      </c>
      <c r="E175" s="4" t="s">
        <v>598</v>
      </c>
      <c r="F175" s="4" t="s">
        <v>16</v>
      </c>
      <c r="G175" s="4" t="s">
        <v>183</v>
      </c>
      <c r="H175" s="4" t="s">
        <v>453</v>
      </c>
      <c r="I175" s="5" t="n">
        <v>36312</v>
      </c>
      <c r="J175" s="4" t="s">
        <v>19</v>
      </c>
      <c r="K175" s="4" t="s">
        <v>20</v>
      </c>
      <c r="L175" s="4" t="s">
        <v>599</v>
      </c>
    </row>
    <row r="176" customFormat="false" ht="12.8" hidden="false" customHeight="false" outlineLevel="0" collapsed="false">
      <c r="A176" s="2" t="str">
        <f aca="false">HYPERLINK("https://www.fabsurplus.com/sdi_catalog/salesItemDetails.do?id=87651")</f>
        <v>https://www.fabsurplus.com/sdi_catalog/salesItemDetails.do?id=87651</v>
      </c>
      <c r="B176" s="2" t="s">
        <v>604</v>
      </c>
      <c r="C176" s="2" t="s">
        <v>605</v>
      </c>
      <c r="D176" s="2" t="s">
        <v>606</v>
      </c>
      <c r="E176" s="2" t="s">
        <v>170</v>
      </c>
      <c r="F176" s="2" t="s">
        <v>16</v>
      </c>
      <c r="G176" s="2" t="s">
        <v>43</v>
      </c>
      <c r="H176" s="2" t="s">
        <v>18</v>
      </c>
      <c r="I176" s="3" t="n">
        <v>39600</v>
      </c>
      <c r="J176" s="2" t="s">
        <v>19</v>
      </c>
      <c r="K176" s="2" t="s">
        <v>20</v>
      </c>
      <c r="L176" s="2" t="s">
        <v>48</v>
      </c>
    </row>
    <row r="177" customFormat="false" ht="12.8" hidden="false" customHeight="false" outlineLevel="0" collapsed="false">
      <c r="A177" s="4" t="str">
        <f aca="false">HYPERLINK("https://www.fabsurplus.com/sdi_catalog/salesItemDetails.do?id=15619")</f>
        <v>https://www.fabsurplus.com/sdi_catalog/salesItemDetails.do?id=15619</v>
      </c>
      <c r="B177" s="4" t="s">
        <v>607</v>
      </c>
      <c r="C177" s="4" t="s">
        <v>608</v>
      </c>
      <c r="D177" s="4" t="s">
        <v>609</v>
      </c>
      <c r="E177" s="4" t="s">
        <v>610</v>
      </c>
      <c r="F177" s="4" t="s">
        <v>611</v>
      </c>
      <c r="G177" s="4" t="s">
        <v>612</v>
      </c>
      <c r="H177" s="4" t="s">
        <v>33</v>
      </c>
      <c r="I177" s="5" t="n">
        <v>31533</v>
      </c>
      <c r="J177" s="4" t="s">
        <v>19</v>
      </c>
      <c r="K177" s="4" t="s">
        <v>20</v>
      </c>
      <c r="L177" s="4" t="s">
        <v>613</v>
      </c>
    </row>
    <row r="178" customFormat="false" ht="12.8" hidden="false" customHeight="false" outlineLevel="0" collapsed="false">
      <c r="A178" s="2" t="str">
        <f aca="false">HYPERLINK("https://www.fabsurplus.com/sdi_catalog/salesItemDetails.do?id=79594")</f>
        <v>https://www.fabsurplus.com/sdi_catalog/salesItemDetails.do?id=79594</v>
      </c>
      <c r="B178" s="2" t="s">
        <v>614</v>
      </c>
      <c r="C178" s="2" t="s">
        <v>615</v>
      </c>
      <c r="D178" s="2" t="s">
        <v>616</v>
      </c>
      <c r="E178" s="2" t="s">
        <v>617</v>
      </c>
      <c r="F178" s="2" t="s">
        <v>16</v>
      </c>
      <c r="G178" s="2" t="s">
        <v>328</v>
      </c>
      <c r="H178" s="2" t="s">
        <v>33</v>
      </c>
      <c r="I178" s="3" t="n">
        <v>34851</v>
      </c>
      <c r="J178" s="2" t="s">
        <v>19</v>
      </c>
      <c r="K178" s="2" t="s">
        <v>20</v>
      </c>
      <c r="L178" s="2" t="s">
        <v>21</v>
      </c>
    </row>
    <row r="179" customFormat="false" ht="12.8" hidden="false" customHeight="false" outlineLevel="0" collapsed="false">
      <c r="A179" s="4" t="str">
        <f aca="false">HYPERLINK("https://www.fabsurplus.com/sdi_catalog/salesItemDetails.do?id=80238")</f>
        <v>https://www.fabsurplus.com/sdi_catalog/salesItemDetails.do?id=80238</v>
      </c>
      <c r="B179" s="4" t="s">
        <v>618</v>
      </c>
      <c r="C179" s="4" t="s">
        <v>619</v>
      </c>
      <c r="D179" s="4" t="s">
        <v>620</v>
      </c>
      <c r="E179" s="4" t="s">
        <v>621</v>
      </c>
      <c r="F179" s="4" t="s">
        <v>16</v>
      </c>
      <c r="G179" s="4" t="s">
        <v>206</v>
      </c>
      <c r="H179" s="4" t="s">
        <v>18</v>
      </c>
      <c r="I179" s="5" t="n">
        <v>34851</v>
      </c>
      <c r="J179" s="4" t="s">
        <v>19</v>
      </c>
      <c r="K179" s="4" t="s">
        <v>20</v>
      </c>
      <c r="L179" s="4" t="s">
        <v>599</v>
      </c>
    </row>
    <row r="180" customFormat="false" ht="12.8" hidden="false" customHeight="false" outlineLevel="0" collapsed="false">
      <c r="A180" s="6" t="str">
        <f aca="false">HYPERLINK("https://www.fabsurplus.com/sdi_catalog/salesItemDetails.do?id=100625")</f>
        <v>https://www.fabsurplus.com/sdi_catalog/salesItemDetails.do?id=100625</v>
      </c>
      <c r="B180" s="6" t="s">
        <v>622</v>
      </c>
      <c r="C180" s="6" t="s">
        <v>623</v>
      </c>
      <c r="D180" s="6" t="s">
        <v>624</v>
      </c>
      <c r="E180" s="6" t="s">
        <v>625</v>
      </c>
      <c r="F180" s="6" t="s">
        <v>626</v>
      </c>
      <c r="G180" s="6" t="s">
        <v>627</v>
      </c>
      <c r="H180" s="6" t="s">
        <v>18</v>
      </c>
      <c r="I180" s="6"/>
      <c r="J180" s="6" t="s">
        <v>19</v>
      </c>
      <c r="K180" s="6" t="s">
        <v>20</v>
      </c>
    </row>
    <row r="181" customFormat="false" ht="12.8" hidden="false" customHeight="false" outlineLevel="0" collapsed="false">
      <c r="A181" s="6" t="str">
        <f aca="false">HYPERLINK("https://www.fabsurplus.com/sdi_catalog/salesItemDetails.do?id=99279")</f>
        <v>https://www.fabsurplus.com/sdi_catalog/salesItemDetails.do?id=99279</v>
      </c>
      <c r="B181" s="6" t="s">
        <v>628</v>
      </c>
      <c r="C181" s="6" t="s">
        <v>629</v>
      </c>
      <c r="D181" s="6" t="s">
        <v>630</v>
      </c>
      <c r="E181" s="6" t="s">
        <v>631</v>
      </c>
      <c r="F181" s="6" t="s">
        <v>632</v>
      </c>
      <c r="G181" s="6" t="s">
        <v>633</v>
      </c>
      <c r="H181" s="6" t="s">
        <v>18</v>
      </c>
      <c r="I181" s="7" t="n">
        <v>34851</v>
      </c>
      <c r="J181" s="6" t="s">
        <v>81</v>
      </c>
      <c r="K181" s="6" t="s">
        <v>20</v>
      </c>
    </row>
    <row r="182" customFormat="false" ht="12.8" hidden="false" customHeight="false" outlineLevel="0" collapsed="false">
      <c r="A182" s="8" t="str">
        <f aca="false">HYPERLINK("https://www.fabsurplus.com/sdi_catalog/salesItemDetails.do?id=98785")</f>
        <v>https://www.fabsurplus.com/sdi_catalog/salesItemDetails.do?id=98785</v>
      </c>
      <c r="B182" s="8" t="s">
        <v>634</v>
      </c>
      <c r="C182" s="8" t="s">
        <v>635</v>
      </c>
      <c r="D182" s="8" t="s">
        <v>624</v>
      </c>
      <c r="E182" s="8" t="s">
        <v>636</v>
      </c>
      <c r="F182" s="8" t="s">
        <v>16</v>
      </c>
      <c r="G182" s="8" t="s">
        <v>417</v>
      </c>
      <c r="H182" s="8" t="s">
        <v>115</v>
      </c>
      <c r="I182" s="9" t="n">
        <v>39600</v>
      </c>
      <c r="J182" s="8" t="s">
        <v>81</v>
      </c>
      <c r="K182" s="8" t="s">
        <v>20</v>
      </c>
    </row>
    <row r="183" customFormat="false" ht="12.8" hidden="false" customHeight="false" outlineLevel="0" collapsed="false">
      <c r="A183" s="8" t="str">
        <f aca="false">HYPERLINK("https://www.fabsurplus.com/sdi_catalog/salesItemDetails.do?id=100028")</f>
        <v>https://www.fabsurplus.com/sdi_catalog/salesItemDetails.do?id=100028</v>
      </c>
      <c r="B183" s="8" t="s">
        <v>637</v>
      </c>
      <c r="C183" s="8" t="s">
        <v>638</v>
      </c>
      <c r="D183" s="8" t="s">
        <v>417</v>
      </c>
      <c r="E183" s="8" t="s">
        <v>639</v>
      </c>
      <c r="F183" s="8" t="s">
        <v>16</v>
      </c>
      <c r="G183" s="8" t="s">
        <v>417</v>
      </c>
      <c r="H183" s="8" t="s">
        <v>33</v>
      </c>
      <c r="I183" s="9" t="n">
        <v>42156</v>
      </c>
      <c r="J183" s="8" t="s">
        <v>19</v>
      </c>
      <c r="K183" s="8" t="s">
        <v>20</v>
      </c>
    </row>
    <row r="184" customFormat="false" ht="12.8" hidden="false" customHeight="false" outlineLevel="0" collapsed="false">
      <c r="A184" s="6" t="str">
        <f aca="false">HYPERLINK("https://www.fabsurplus.com/sdi_catalog/salesItemDetails.do?id=98974")</f>
        <v>https://www.fabsurplus.com/sdi_catalog/salesItemDetails.do?id=98974</v>
      </c>
      <c r="B184" s="6" t="s">
        <v>640</v>
      </c>
      <c r="C184" s="6" t="s">
        <v>641</v>
      </c>
      <c r="D184" s="6" t="s">
        <v>642</v>
      </c>
      <c r="E184" s="6" t="s">
        <v>643</v>
      </c>
      <c r="F184" s="6" t="s">
        <v>16</v>
      </c>
      <c r="G184" s="6" t="s">
        <v>310</v>
      </c>
      <c r="H184" s="6"/>
      <c r="I184" s="7" t="n">
        <v>39052</v>
      </c>
      <c r="J184" s="6" t="s">
        <v>19</v>
      </c>
      <c r="K184" s="6"/>
    </row>
    <row r="185" customFormat="false" ht="12.8" hidden="false" customHeight="false" outlineLevel="0" collapsed="false">
      <c r="A185" s="8" t="str">
        <f aca="false">HYPERLINK("https://www.fabsurplus.com/sdi_catalog/salesItemDetails.do?id=98975")</f>
        <v>https://www.fabsurplus.com/sdi_catalog/salesItemDetails.do?id=98975</v>
      </c>
      <c r="B185" s="8" t="s">
        <v>644</v>
      </c>
      <c r="C185" s="8" t="s">
        <v>641</v>
      </c>
      <c r="D185" s="8" t="s">
        <v>645</v>
      </c>
      <c r="E185" s="8" t="s">
        <v>643</v>
      </c>
      <c r="F185" s="8" t="s">
        <v>16</v>
      </c>
      <c r="G185" s="8" t="s">
        <v>310</v>
      </c>
      <c r="H185" s="8"/>
      <c r="I185" s="9" t="n">
        <v>39508</v>
      </c>
      <c r="J185" s="8" t="s">
        <v>19</v>
      </c>
      <c r="K185" s="8"/>
    </row>
    <row r="186" customFormat="false" ht="12.8" hidden="false" customHeight="false" outlineLevel="0" collapsed="false">
      <c r="A186" s="8" t="str">
        <f aca="false">HYPERLINK("https://www.fabsurplus.com/sdi_catalog/salesItemDetails.do?id=98977")</f>
        <v>https://www.fabsurplus.com/sdi_catalog/salesItemDetails.do?id=98977</v>
      </c>
      <c r="B186" s="8" t="s">
        <v>646</v>
      </c>
      <c r="C186" s="8" t="s">
        <v>641</v>
      </c>
      <c r="D186" s="8" t="s">
        <v>647</v>
      </c>
      <c r="E186" s="8" t="s">
        <v>643</v>
      </c>
      <c r="F186" s="8" t="s">
        <v>16</v>
      </c>
      <c r="G186" s="8" t="s">
        <v>32</v>
      </c>
      <c r="H186" s="8"/>
      <c r="I186" s="9" t="n">
        <v>36069</v>
      </c>
      <c r="J186" s="8" t="s">
        <v>19</v>
      </c>
      <c r="K186" s="8"/>
    </row>
    <row r="187" customFormat="false" ht="12.8" hidden="false" customHeight="false" outlineLevel="0" collapsed="false">
      <c r="A187" s="6" t="str">
        <f aca="false">HYPERLINK("https://www.fabsurplus.com/sdi_catalog/salesItemDetails.do?id=98976")</f>
        <v>https://www.fabsurplus.com/sdi_catalog/salesItemDetails.do?id=98976</v>
      </c>
      <c r="B187" s="6" t="s">
        <v>648</v>
      </c>
      <c r="C187" s="6" t="s">
        <v>641</v>
      </c>
      <c r="D187" s="6" t="s">
        <v>647</v>
      </c>
      <c r="E187" s="6" t="s">
        <v>643</v>
      </c>
      <c r="F187" s="6" t="s">
        <v>16</v>
      </c>
      <c r="G187" s="6" t="s">
        <v>32</v>
      </c>
      <c r="H187" s="6"/>
      <c r="I187" s="7" t="n">
        <v>34608</v>
      </c>
      <c r="J187" s="6" t="s">
        <v>19</v>
      </c>
      <c r="K187" s="6"/>
    </row>
    <row r="188" customFormat="false" ht="12.8" hidden="false" customHeight="false" outlineLevel="0" collapsed="false">
      <c r="A188" s="8" t="str">
        <f aca="false">HYPERLINK("https://www.fabsurplus.com/sdi_catalog/salesItemDetails.do?id=98981")</f>
        <v>https://www.fabsurplus.com/sdi_catalog/salesItemDetails.do?id=98981</v>
      </c>
      <c r="B188" s="8" t="s">
        <v>649</v>
      </c>
      <c r="C188" s="8" t="s">
        <v>641</v>
      </c>
      <c r="D188" s="8" t="s">
        <v>650</v>
      </c>
      <c r="E188" s="8" t="s">
        <v>643</v>
      </c>
      <c r="F188" s="8" t="s">
        <v>16</v>
      </c>
      <c r="G188" s="8" t="s">
        <v>32</v>
      </c>
      <c r="H188" s="8"/>
      <c r="I188" s="9" t="n">
        <v>37865</v>
      </c>
      <c r="J188" s="8" t="s">
        <v>19</v>
      </c>
      <c r="K188" s="8"/>
    </row>
    <row r="189" customFormat="false" ht="12.8" hidden="false" customHeight="false" outlineLevel="0" collapsed="false">
      <c r="A189" s="6" t="str">
        <f aca="false">HYPERLINK("https://www.fabsurplus.com/sdi_catalog/salesItemDetails.do?id=98980")</f>
        <v>https://www.fabsurplus.com/sdi_catalog/salesItemDetails.do?id=98980</v>
      </c>
      <c r="B189" s="6" t="s">
        <v>651</v>
      </c>
      <c r="C189" s="6" t="s">
        <v>641</v>
      </c>
      <c r="D189" s="6" t="s">
        <v>650</v>
      </c>
      <c r="E189" s="6" t="s">
        <v>643</v>
      </c>
      <c r="F189" s="6" t="s">
        <v>16</v>
      </c>
      <c r="G189" s="6" t="s">
        <v>32</v>
      </c>
      <c r="H189" s="6"/>
      <c r="I189" s="7" t="n">
        <v>37865</v>
      </c>
      <c r="J189" s="6" t="s">
        <v>19</v>
      </c>
      <c r="K189" s="6"/>
    </row>
    <row r="190" customFormat="false" ht="12.8" hidden="false" customHeight="false" outlineLevel="0" collapsed="false">
      <c r="A190" s="8" t="str">
        <f aca="false">HYPERLINK("https://www.fabsurplus.com/sdi_catalog/salesItemDetails.do?id=98979")</f>
        <v>https://www.fabsurplus.com/sdi_catalog/salesItemDetails.do?id=98979</v>
      </c>
      <c r="B190" s="8" t="s">
        <v>652</v>
      </c>
      <c r="C190" s="8" t="s">
        <v>641</v>
      </c>
      <c r="D190" s="8" t="s">
        <v>650</v>
      </c>
      <c r="E190" s="8" t="s">
        <v>643</v>
      </c>
      <c r="F190" s="8" t="s">
        <v>16</v>
      </c>
      <c r="G190" s="8" t="s">
        <v>32</v>
      </c>
      <c r="H190" s="8"/>
      <c r="I190" s="9" t="n">
        <v>37865</v>
      </c>
      <c r="J190" s="8" t="s">
        <v>19</v>
      </c>
      <c r="K190" s="8"/>
    </row>
    <row r="191" customFormat="false" ht="12.8" hidden="false" customHeight="false" outlineLevel="0" collapsed="false">
      <c r="A191" s="6" t="str">
        <f aca="false">HYPERLINK("https://www.fabsurplus.com/sdi_catalog/salesItemDetails.do?id=98978")</f>
        <v>https://www.fabsurplus.com/sdi_catalog/salesItemDetails.do?id=98978</v>
      </c>
      <c r="B191" s="6" t="s">
        <v>653</v>
      </c>
      <c r="C191" s="6" t="s">
        <v>641</v>
      </c>
      <c r="D191" s="6" t="s">
        <v>650</v>
      </c>
      <c r="E191" s="6" t="s">
        <v>643</v>
      </c>
      <c r="F191" s="6" t="s">
        <v>16</v>
      </c>
      <c r="G191" s="6" t="s">
        <v>32</v>
      </c>
      <c r="H191" s="6"/>
      <c r="I191" s="7" t="n">
        <v>37773</v>
      </c>
      <c r="J191" s="6" t="s">
        <v>19</v>
      </c>
      <c r="K191" s="6"/>
    </row>
    <row r="192" customFormat="false" ht="12.8" hidden="false" customHeight="false" outlineLevel="0" collapsed="false">
      <c r="A192" s="8" t="str">
        <f aca="false">HYPERLINK("https://www.fabsurplus.com/sdi_catalog/salesItemDetails.do?id=98983")</f>
        <v>https://www.fabsurplus.com/sdi_catalog/salesItemDetails.do?id=98983</v>
      </c>
      <c r="B192" s="8" t="s">
        <v>654</v>
      </c>
      <c r="C192" s="8" t="s">
        <v>641</v>
      </c>
      <c r="D192" s="8" t="s">
        <v>655</v>
      </c>
      <c r="E192" s="8" t="s">
        <v>643</v>
      </c>
      <c r="F192" s="8" t="s">
        <v>16</v>
      </c>
      <c r="G192" s="8" t="s">
        <v>32</v>
      </c>
      <c r="H192" s="8"/>
      <c r="I192" s="9" t="n">
        <v>37288</v>
      </c>
      <c r="J192" s="8" t="s">
        <v>19</v>
      </c>
      <c r="K192" s="8"/>
    </row>
    <row r="193" customFormat="false" ht="12.8" hidden="false" customHeight="false" outlineLevel="0" collapsed="false">
      <c r="A193" s="6" t="str">
        <f aca="false">HYPERLINK("https://www.fabsurplus.com/sdi_catalog/salesItemDetails.do?id=98982")</f>
        <v>https://www.fabsurplus.com/sdi_catalog/salesItemDetails.do?id=98982</v>
      </c>
      <c r="B193" s="6" t="s">
        <v>656</v>
      </c>
      <c r="C193" s="6" t="s">
        <v>641</v>
      </c>
      <c r="D193" s="6" t="s">
        <v>655</v>
      </c>
      <c r="E193" s="6" t="s">
        <v>643</v>
      </c>
      <c r="F193" s="6" t="s">
        <v>16</v>
      </c>
      <c r="G193" s="6" t="s">
        <v>32</v>
      </c>
      <c r="H193" s="6"/>
      <c r="I193" s="7" t="n">
        <v>37288</v>
      </c>
      <c r="J193" s="6" t="s">
        <v>19</v>
      </c>
      <c r="K193" s="6"/>
    </row>
    <row r="194" customFormat="false" ht="12.8" hidden="false" customHeight="false" outlineLevel="0" collapsed="false">
      <c r="A194" s="8" t="str">
        <f aca="false">HYPERLINK("https://www.fabsurplus.com/sdi_catalog/salesItemDetails.do?id=98989")</f>
        <v>https://www.fabsurplus.com/sdi_catalog/salesItemDetails.do?id=98989</v>
      </c>
      <c r="B194" s="8" t="s">
        <v>657</v>
      </c>
      <c r="C194" s="8" t="s">
        <v>641</v>
      </c>
      <c r="D194" s="8" t="s">
        <v>658</v>
      </c>
      <c r="E194" s="8" t="s">
        <v>643</v>
      </c>
      <c r="F194" s="8" t="s">
        <v>16</v>
      </c>
      <c r="G194" s="8" t="s">
        <v>32</v>
      </c>
      <c r="H194" s="8"/>
      <c r="I194" s="9" t="n">
        <v>38261</v>
      </c>
      <c r="J194" s="8" t="s">
        <v>19</v>
      </c>
      <c r="K194" s="8"/>
    </row>
    <row r="195" customFormat="false" ht="12.8" hidden="false" customHeight="false" outlineLevel="0" collapsed="false">
      <c r="A195" s="6" t="str">
        <f aca="false">HYPERLINK("https://www.fabsurplus.com/sdi_catalog/salesItemDetails.do?id=98988")</f>
        <v>https://www.fabsurplus.com/sdi_catalog/salesItemDetails.do?id=98988</v>
      </c>
      <c r="B195" s="6" t="s">
        <v>659</v>
      </c>
      <c r="C195" s="6" t="s">
        <v>641</v>
      </c>
      <c r="D195" s="6" t="s">
        <v>658</v>
      </c>
      <c r="E195" s="6" t="s">
        <v>643</v>
      </c>
      <c r="F195" s="6" t="s">
        <v>16</v>
      </c>
      <c r="G195" s="6" t="s">
        <v>32</v>
      </c>
      <c r="H195" s="6"/>
      <c r="I195" s="7" t="n">
        <v>38108</v>
      </c>
      <c r="J195" s="6" t="s">
        <v>19</v>
      </c>
      <c r="K195" s="6"/>
    </row>
    <row r="196" customFormat="false" ht="12.8" hidden="false" customHeight="false" outlineLevel="0" collapsed="false">
      <c r="A196" s="8" t="str">
        <f aca="false">HYPERLINK("https://www.fabsurplus.com/sdi_catalog/salesItemDetails.do?id=98987")</f>
        <v>https://www.fabsurplus.com/sdi_catalog/salesItemDetails.do?id=98987</v>
      </c>
      <c r="B196" s="8" t="s">
        <v>660</v>
      </c>
      <c r="C196" s="8" t="s">
        <v>641</v>
      </c>
      <c r="D196" s="8" t="s">
        <v>658</v>
      </c>
      <c r="E196" s="8" t="s">
        <v>643</v>
      </c>
      <c r="F196" s="8" t="s">
        <v>16</v>
      </c>
      <c r="G196" s="8" t="s">
        <v>32</v>
      </c>
      <c r="H196" s="8"/>
      <c r="I196" s="9" t="n">
        <v>37895</v>
      </c>
      <c r="J196" s="8" t="s">
        <v>19</v>
      </c>
      <c r="K196" s="8"/>
    </row>
    <row r="197" customFormat="false" ht="12.8" hidden="false" customHeight="false" outlineLevel="0" collapsed="false">
      <c r="A197" s="6" t="str">
        <f aca="false">HYPERLINK("https://www.fabsurplus.com/sdi_catalog/salesItemDetails.do?id=98986")</f>
        <v>https://www.fabsurplus.com/sdi_catalog/salesItemDetails.do?id=98986</v>
      </c>
      <c r="B197" s="6" t="s">
        <v>661</v>
      </c>
      <c r="C197" s="6" t="s">
        <v>641</v>
      </c>
      <c r="D197" s="6" t="s">
        <v>658</v>
      </c>
      <c r="E197" s="6" t="s">
        <v>643</v>
      </c>
      <c r="F197" s="6" t="s">
        <v>16</v>
      </c>
      <c r="G197" s="6" t="s">
        <v>32</v>
      </c>
      <c r="H197" s="6"/>
      <c r="I197" s="7" t="n">
        <v>37895</v>
      </c>
      <c r="J197" s="6" t="s">
        <v>19</v>
      </c>
      <c r="K197" s="6"/>
    </row>
    <row r="198" customFormat="false" ht="12.8" hidden="false" customHeight="false" outlineLevel="0" collapsed="false">
      <c r="A198" s="8" t="str">
        <f aca="false">HYPERLINK("https://www.fabsurplus.com/sdi_catalog/salesItemDetails.do?id=98985")</f>
        <v>https://www.fabsurplus.com/sdi_catalog/salesItemDetails.do?id=98985</v>
      </c>
      <c r="B198" s="8" t="s">
        <v>662</v>
      </c>
      <c r="C198" s="8" t="s">
        <v>641</v>
      </c>
      <c r="D198" s="8" t="s">
        <v>658</v>
      </c>
      <c r="E198" s="8" t="s">
        <v>643</v>
      </c>
      <c r="F198" s="8" t="s">
        <v>16</v>
      </c>
      <c r="G198" s="8" t="s">
        <v>32</v>
      </c>
      <c r="H198" s="8"/>
      <c r="I198" s="9" t="n">
        <v>38108</v>
      </c>
      <c r="J198" s="8" t="s">
        <v>19</v>
      </c>
      <c r="K198" s="8"/>
    </row>
    <row r="199" customFormat="false" ht="12.8" hidden="false" customHeight="false" outlineLevel="0" collapsed="false">
      <c r="A199" s="6" t="str">
        <f aca="false">HYPERLINK("https://www.fabsurplus.com/sdi_catalog/salesItemDetails.do?id=98984")</f>
        <v>https://www.fabsurplus.com/sdi_catalog/salesItemDetails.do?id=98984</v>
      </c>
      <c r="B199" s="6" t="s">
        <v>663</v>
      </c>
      <c r="C199" s="6" t="s">
        <v>641</v>
      </c>
      <c r="D199" s="6" t="s">
        <v>658</v>
      </c>
      <c r="E199" s="6" t="s">
        <v>643</v>
      </c>
      <c r="F199" s="6" t="s">
        <v>16</v>
      </c>
      <c r="G199" s="6" t="s">
        <v>32</v>
      </c>
      <c r="H199" s="6"/>
      <c r="I199" s="7" t="n">
        <v>38108</v>
      </c>
      <c r="J199" s="6" t="s">
        <v>19</v>
      </c>
      <c r="K199" s="6"/>
    </row>
    <row r="200" customFormat="false" ht="12.8" hidden="false" customHeight="false" outlineLevel="0" collapsed="false">
      <c r="A200" s="8" t="str">
        <f aca="false">HYPERLINK("https://www.fabsurplus.com/sdi_catalog/salesItemDetails.do?id=98229")</f>
        <v>https://www.fabsurplus.com/sdi_catalog/salesItemDetails.do?id=98229</v>
      </c>
      <c r="B200" s="8" t="s">
        <v>664</v>
      </c>
      <c r="C200" s="8" t="s">
        <v>665</v>
      </c>
      <c r="D200" s="8" t="s">
        <v>14</v>
      </c>
      <c r="E200" s="8" t="s">
        <v>666</v>
      </c>
      <c r="F200" s="8" t="s">
        <v>667</v>
      </c>
      <c r="G200" s="8"/>
      <c r="H200" s="8" t="s">
        <v>18</v>
      </c>
      <c r="I200" s="8"/>
      <c r="J200" s="8" t="s">
        <v>81</v>
      </c>
      <c r="K200" s="8" t="s">
        <v>20</v>
      </c>
    </row>
    <row r="201" customFormat="false" ht="12.8" hidden="false" customHeight="false" outlineLevel="0" collapsed="false">
      <c r="A201" s="6" t="str">
        <f aca="false">HYPERLINK("https://www.fabsurplus.com/sdi_catalog/salesItemDetails.do?id=98228")</f>
        <v>https://www.fabsurplus.com/sdi_catalog/salesItemDetails.do?id=98228</v>
      </c>
      <c r="B201" s="6" t="s">
        <v>668</v>
      </c>
      <c r="C201" s="6" t="s">
        <v>665</v>
      </c>
      <c r="D201" s="6" t="s">
        <v>669</v>
      </c>
      <c r="E201" s="6" t="s">
        <v>666</v>
      </c>
      <c r="F201" s="6" t="s">
        <v>16</v>
      </c>
      <c r="G201" s="6"/>
      <c r="H201" s="6"/>
      <c r="I201" s="6"/>
      <c r="J201" s="6" t="s">
        <v>81</v>
      </c>
      <c r="K201" s="6"/>
    </row>
    <row r="202" customFormat="false" ht="12.8" hidden="false" customHeight="false" outlineLevel="0" collapsed="false">
      <c r="A202" s="6" t="str">
        <f aca="false">HYPERLINK("https://www.fabsurplus.com/sdi_catalog/salesItemDetails.do?id=98230")</f>
        <v>https://www.fabsurplus.com/sdi_catalog/salesItemDetails.do?id=98230</v>
      </c>
      <c r="B202" s="6" t="s">
        <v>670</v>
      </c>
      <c r="C202" s="6" t="s">
        <v>665</v>
      </c>
      <c r="D202" s="6" t="s">
        <v>671</v>
      </c>
      <c r="E202" s="6" t="s">
        <v>672</v>
      </c>
      <c r="F202" s="6" t="s">
        <v>673</v>
      </c>
      <c r="G202" s="6"/>
      <c r="H202" s="6" t="s">
        <v>18</v>
      </c>
      <c r="I202" s="6"/>
      <c r="J202" s="6" t="s">
        <v>81</v>
      </c>
      <c r="K202" s="6" t="s">
        <v>20</v>
      </c>
    </row>
    <row r="203" customFormat="false" ht="12.8" hidden="false" customHeight="false" outlineLevel="0" collapsed="false">
      <c r="A203" s="8" t="str">
        <f aca="false">HYPERLINK("https://www.fabsurplus.com/sdi_catalog/salesItemDetails.do?id=98249")</f>
        <v>https://www.fabsurplus.com/sdi_catalog/salesItemDetails.do?id=98249</v>
      </c>
      <c r="B203" s="8" t="s">
        <v>674</v>
      </c>
      <c r="C203" s="8" t="s">
        <v>665</v>
      </c>
      <c r="D203" s="8" t="s">
        <v>675</v>
      </c>
      <c r="E203" s="8" t="s">
        <v>676</v>
      </c>
      <c r="F203" s="8" t="s">
        <v>626</v>
      </c>
      <c r="G203" s="8" t="s">
        <v>32</v>
      </c>
      <c r="H203" s="8" t="s">
        <v>18</v>
      </c>
      <c r="I203" s="8"/>
      <c r="J203" s="8" t="s">
        <v>81</v>
      </c>
      <c r="K203" s="8" t="s">
        <v>20</v>
      </c>
    </row>
    <row r="204" customFormat="false" ht="12.8" hidden="false" customHeight="false" outlineLevel="0" collapsed="false">
      <c r="A204" s="8" t="str">
        <f aca="false">HYPERLINK("https://www.fabsurplus.com/sdi_catalog/salesItemDetails.do?id=98246")</f>
        <v>https://www.fabsurplus.com/sdi_catalog/salesItemDetails.do?id=98246</v>
      </c>
      <c r="B204" s="8" t="s">
        <v>677</v>
      </c>
      <c r="C204" s="8" t="s">
        <v>665</v>
      </c>
      <c r="D204" s="8" t="s">
        <v>650</v>
      </c>
      <c r="E204" s="8" t="s">
        <v>676</v>
      </c>
      <c r="F204" s="8" t="s">
        <v>16</v>
      </c>
      <c r="G204" s="8" t="s">
        <v>32</v>
      </c>
      <c r="H204" s="8" t="s">
        <v>18</v>
      </c>
      <c r="I204" s="8"/>
      <c r="J204" s="8" t="s">
        <v>81</v>
      </c>
      <c r="K204" s="8" t="s">
        <v>20</v>
      </c>
    </row>
    <row r="205" customFormat="false" ht="12.8" hidden="false" customHeight="false" outlineLevel="0" collapsed="false">
      <c r="A205" s="6" t="str">
        <f aca="false">HYPERLINK("https://www.fabsurplus.com/sdi_catalog/salesItemDetails.do?id=98248")</f>
        <v>https://www.fabsurplus.com/sdi_catalog/salesItemDetails.do?id=98248</v>
      </c>
      <c r="B205" s="6" t="s">
        <v>678</v>
      </c>
      <c r="C205" s="6" t="s">
        <v>665</v>
      </c>
      <c r="D205" s="6" t="s">
        <v>679</v>
      </c>
      <c r="E205" s="6" t="s">
        <v>676</v>
      </c>
      <c r="F205" s="6" t="s">
        <v>16</v>
      </c>
      <c r="G205" s="6" t="s">
        <v>32</v>
      </c>
      <c r="H205" s="6" t="s">
        <v>18</v>
      </c>
      <c r="I205" s="6"/>
      <c r="J205" s="6" t="s">
        <v>81</v>
      </c>
      <c r="K205" s="6" t="s">
        <v>20</v>
      </c>
    </row>
    <row r="206" customFormat="false" ht="12.8" hidden="false" customHeight="false" outlineLevel="0" collapsed="false">
      <c r="A206" s="6" t="str">
        <f aca="false">HYPERLINK("https://www.fabsurplus.com/sdi_catalog/salesItemDetails.do?id=98245")</f>
        <v>https://www.fabsurplus.com/sdi_catalog/salesItemDetails.do?id=98245</v>
      </c>
      <c r="B206" s="6" t="s">
        <v>680</v>
      </c>
      <c r="C206" s="6" t="s">
        <v>665</v>
      </c>
      <c r="D206" s="6" t="s">
        <v>681</v>
      </c>
      <c r="E206" s="6" t="s">
        <v>676</v>
      </c>
      <c r="F206" s="6" t="s">
        <v>16</v>
      </c>
      <c r="G206" s="6" t="s">
        <v>32</v>
      </c>
      <c r="H206" s="6" t="s">
        <v>18</v>
      </c>
      <c r="I206" s="6"/>
      <c r="J206" s="6" t="s">
        <v>81</v>
      </c>
      <c r="K206" s="6" t="s">
        <v>20</v>
      </c>
    </row>
    <row r="207" customFormat="false" ht="12.8" hidden="false" customHeight="false" outlineLevel="0" collapsed="false">
      <c r="A207" s="6" t="str">
        <f aca="false">HYPERLINK("https://www.fabsurplus.com/sdi_catalog/salesItemDetails.do?id=98247")</f>
        <v>https://www.fabsurplus.com/sdi_catalog/salesItemDetails.do?id=98247</v>
      </c>
      <c r="B207" s="6" t="s">
        <v>682</v>
      </c>
      <c r="C207" s="6" t="s">
        <v>665</v>
      </c>
      <c r="D207" s="6" t="s">
        <v>658</v>
      </c>
      <c r="E207" s="6" t="s">
        <v>676</v>
      </c>
      <c r="F207" s="6" t="s">
        <v>16</v>
      </c>
      <c r="G207" s="6" t="s">
        <v>32</v>
      </c>
      <c r="H207" s="6" t="s">
        <v>18</v>
      </c>
      <c r="I207" s="6"/>
      <c r="J207" s="6" t="s">
        <v>81</v>
      </c>
      <c r="K207" s="6" t="s">
        <v>20</v>
      </c>
    </row>
    <row r="208" customFormat="false" ht="12.8" hidden="false" customHeight="false" outlineLevel="0" collapsed="false">
      <c r="A208" s="6" t="str">
        <f aca="false">HYPERLINK("https://www.fabsurplus.com/sdi_catalog/salesItemDetails.do?id=100062")</f>
        <v>https://www.fabsurplus.com/sdi_catalog/salesItemDetails.do?id=100062</v>
      </c>
      <c r="B208" s="6" t="s">
        <v>683</v>
      </c>
      <c r="C208" s="6" t="s">
        <v>684</v>
      </c>
      <c r="D208" s="6" t="s">
        <v>685</v>
      </c>
      <c r="E208" s="6" t="s">
        <v>676</v>
      </c>
      <c r="F208" s="6" t="s">
        <v>16</v>
      </c>
      <c r="G208" s="6" t="s">
        <v>686</v>
      </c>
      <c r="H208" s="6"/>
      <c r="I208" s="6"/>
      <c r="J208" s="6" t="s">
        <v>19</v>
      </c>
      <c r="K208" s="6"/>
    </row>
    <row r="209" customFormat="false" ht="12.8" hidden="false" customHeight="false" outlineLevel="0" collapsed="false">
      <c r="A209" s="8" t="str">
        <f aca="false">HYPERLINK("https://www.fabsurplus.com/sdi_catalog/salesItemDetails.do?id=100061")</f>
        <v>https://www.fabsurplus.com/sdi_catalog/salesItemDetails.do?id=100061</v>
      </c>
      <c r="B209" s="8" t="s">
        <v>687</v>
      </c>
      <c r="C209" s="8" t="s">
        <v>684</v>
      </c>
      <c r="D209" s="8" t="s">
        <v>685</v>
      </c>
      <c r="E209" s="8" t="s">
        <v>676</v>
      </c>
      <c r="F209" s="8" t="s">
        <v>16</v>
      </c>
      <c r="G209" s="8" t="s">
        <v>686</v>
      </c>
      <c r="H209" s="8"/>
      <c r="I209" s="8"/>
      <c r="J209" s="8" t="s">
        <v>19</v>
      </c>
      <c r="K209" s="8"/>
    </row>
    <row r="210" customFormat="false" ht="12.8" hidden="false" customHeight="false" outlineLevel="0" collapsed="false">
      <c r="A210" s="6" t="str">
        <f aca="false">HYPERLINK("https://www.fabsurplus.com/sdi_catalog/salesItemDetails.do?id=100060")</f>
        <v>https://www.fabsurplus.com/sdi_catalog/salesItemDetails.do?id=100060</v>
      </c>
      <c r="B210" s="6" t="s">
        <v>688</v>
      </c>
      <c r="C210" s="6" t="s">
        <v>684</v>
      </c>
      <c r="D210" s="6" t="s">
        <v>685</v>
      </c>
      <c r="E210" s="6" t="s">
        <v>676</v>
      </c>
      <c r="F210" s="6" t="s">
        <v>16</v>
      </c>
      <c r="G210" s="6" t="s">
        <v>686</v>
      </c>
      <c r="H210" s="6"/>
      <c r="I210" s="6"/>
      <c r="J210" s="6" t="s">
        <v>19</v>
      </c>
      <c r="K210" s="6"/>
    </row>
    <row r="211" customFormat="false" ht="12.8" hidden="false" customHeight="false" outlineLevel="0" collapsed="false">
      <c r="A211" s="8" t="str">
        <f aca="false">HYPERLINK("https://www.fabsurplus.com/sdi_catalog/salesItemDetails.do?id=100059")</f>
        <v>https://www.fabsurplus.com/sdi_catalog/salesItemDetails.do?id=100059</v>
      </c>
      <c r="B211" s="8" t="s">
        <v>689</v>
      </c>
      <c r="C211" s="8" t="s">
        <v>684</v>
      </c>
      <c r="D211" s="8" t="s">
        <v>685</v>
      </c>
      <c r="E211" s="8" t="s">
        <v>676</v>
      </c>
      <c r="F211" s="8" t="s">
        <v>16</v>
      </c>
      <c r="G211" s="8" t="s">
        <v>686</v>
      </c>
      <c r="H211" s="8"/>
      <c r="I211" s="8"/>
      <c r="J211" s="8" t="s">
        <v>19</v>
      </c>
      <c r="K211" s="8"/>
    </row>
    <row r="212" customFormat="false" ht="12.8" hidden="false" customHeight="false" outlineLevel="0" collapsed="false">
      <c r="A212" s="6" t="str">
        <f aca="false">HYPERLINK("https://www.fabsurplus.com/sdi_catalog/salesItemDetails.do?id=100058")</f>
        <v>https://www.fabsurplus.com/sdi_catalog/salesItemDetails.do?id=100058</v>
      </c>
      <c r="B212" s="6" t="s">
        <v>690</v>
      </c>
      <c r="C212" s="6" t="s">
        <v>684</v>
      </c>
      <c r="D212" s="6" t="s">
        <v>685</v>
      </c>
      <c r="E212" s="6" t="s">
        <v>676</v>
      </c>
      <c r="F212" s="6" t="s">
        <v>16</v>
      </c>
      <c r="G212" s="6" t="s">
        <v>686</v>
      </c>
      <c r="H212" s="6"/>
      <c r="I212" s="6"/>
      <c r="J212" s="6" t="s">
        <v>19</v>
      </c>
      <c r="K212" s="6"/>
    </row>
    <row r="213" customFormat="false" ht="12.8" hidden="false" customHeight="false" outlineLevel="0" collapsed="false">
      <c r="A213" s="8" t="str">
        <f aca="false">HYPERLINK("https://www.fabsurplus.com/sdi_catalog/salesItemDetails.do?id=99907")</f>
        <v>https://www.fabsurplus.com/sdi_catalog/salesItemDetails.do?id=99907</v>
      </c>
      <c r="B213" s="8" t="s">
        <v>691</v>
      </c>
      <c r="C213" s="8" t="s">
        <v>684</v>
      </c>
      <c r="D213" s="8" t="s">
        <v>692</v>
      </c>
      <c r="E213" s="8" t="s">
        <v>693</v>
      </c>
      <c r="F213" s="8" t="s">
        <v>16</v>
      </c>
      <c r="G213" s="8"/>
      <c r="H213" s="8" t="s">
        <v>18</v>
      </c>
      <c r="I213" s="9" t="n">
        <v>39203</v>
      </c>
      <c r="J213" s="8" t="s">
        <v>19</v>
      </c>
      <c r="K213" s="8" t="s">
        <v>20</v>
      </c>
    </row>
    <row r="214" customFormat="false" ht="12.8" hidden="false" customHeight="false" outlineLevel="0" collapsed="false">
      <c r="A214" s="8" t="str">
        <f aca="false">HYPERLINK("https://www.fabsurplus.com/sdi_catalog/salesItemDetails.do?id=98962")</f>
        <v>https://www.fabsurplus.com/sdi_catalog/salesItemDetails.do?id=98962</v>
      </c>
      <c r="B214" s="8" t="s">
        <v>694</v>
      </c>
      <c r="C214" s="8" t="s">
        <v>695</v>
      </c>
      <c r="D214" s="8" t="s">
        <v>452</v>
      </c>
      <c r="E214" s="8" t="s">
        <v>696</v>
      </c>
      <c r="F214" s="8" t="s">
        <v>16</v>
      </c>
      <c r="G214" s="8" t="s">
        <v>697</v>
      </c>
      <c r="H214" s="8" t="s">
        <v>33</v>
      </c>
      <c r="I214" s="8"/>
      <c r="J214" s="8" t="s">
        <v>19</v>
      </c>
      <c r="K214" s="8" t="s">
        <v>20</v>
      </c>
    </row>
    <row r="215" customFormat="false" ht="12.8" hidden="false" customHeight="false" outlineLevel="0" collapsed="false">
      <c r="A215" s="6" t="str">
        <f aca="false">HYPERLINK("https://www.fabsurplus.com/sdi_catalog/salesItemDetails.do?id=97846")</f>
        <v>https://www.fabsurplus.com/sdi_catalog/salesItemDetails.do?id=97846</v>
      </c>
      <c r="B215" s="6" t="s">
        <v>698</v>
      </c>
      <c r="C215" s="6" t="s">
        <v>695</v>
      </c>
      <c r="D215" s="6" t="s">
        <v>699</v>
      </c>
      <c r="E215" s="6" t="s">
        <v>700</v>
      </c>
      <c r="F215" s="6" t="s">
        <v>16</v>
      </c>
      <c r="G215" s="6" t="s">
        <v>310</v>
      </c>
      <c r="H215" s="6"/>
      <c r="I215" s="7" t="n">
        <v>37043</v>
      </c>
      <c r="J215" s="6" t="s">
        <v>19</v>
      </c>
      <c r="K215" s="6"/>
    </row>
    <row r="216" customFormat="false" ht="12.8" hidden="false" customHeight="false" outlineLevel="0" collapsed="false">
      <c r="A216" s="8" t="str">
        <f aca="false">HYPERLINK("https://www.fabsurplus.com/sdi_catalog/salesItemDetails.do?id=100344")</f>
        <v>https://www.fabsurplus.com/sdi_catalog/salesItemDetails.do?id=100344</v>
      </c>
      <c r="B216" s="8" t="s">
        <v>701</v>
      </c>
      <c r="C216" s="8" t="s">
        <v>702</v>
      </c>
      <c r="D216" s="8" t="s">
        <v>703</v>
      </c>
      <c r="E216" s="8" t="s">
        <v>704</v>
      </c>
      <c r="F216" s="8" t="s">
        <v>16</v>
      </c>
      <c r="G216" s="8"/>
      <c r="H216" s="8" t="s">
        <v>18</v>
      </c>
      <c r="I216" s="8"/>
      <c r="J216" s="8" t="s">
        <v>19</v>
      </c>
      <c r="K216" s="8" t="s">
        <v>20</v>
      </c>
    </row>
    <row r="217" customFormat="false" ht="12.8" hidden="false" customHeight="false" outlineLevel="0" collapsed="false">
      <c r="A217" s="6" t="str">
        <f aca="false">HYPERLINK("https://www.fabsurplus.com/sdi_catalog/salesItemDetails.do?id=100343")</f>
        <v>https://www.fabsurplus.com/sdi_catalog/salesItemDetails.do?id=100343</v>
      </c>
      <c r="B217" s="6" t="s">
        <v>705</v>
      </c>
      <c r="C217" s="6" t="s">
        <v>702</v>
      </c>
      <c r="D217" s="6" t="s">
        <v>706</v>
      </c>
      <c r="E217" s="6" t="s">
        <v>707</v>
      </c>
      <c r="F217" s="6" t="s">
        <v>16</v>
      </c>
      <c r="G217" s="6" t="s">
        <v>47</v>
      </c>
      <c r="H217" s="6" t="s">
        <v>18</v>
      </c>
      <c r="I217" s="7" t="n">
        <v>35217</v>
      </c>
      <c r="J217" s="6" t="s">
        <v>19</v>
      </c>
      <c r="K217" s="6" t="s">
        <v>20</v>
      </c>
    </row>
    <row r="218" customFormat="false" ht="12.8" hidden="false" customHeight="false" outlineLevel="0" collapsed="false">
      <c r="A218" s="6" t="str">
        <f aca="false">HYPERLINK("https://www.fabsurplus.com/sdi_catalog/salesItemDetails.do?id=99061")</f>
        <v>https://www.fabsurplus.com/sdi_catalog/salesItemDetails.do?id=99061</v>
      </c>
      <c r="B218" s="6" t="s">
        <v>708</v>
      </c>
      <c r="C218" s="6" t="s">
        <v>709</v>
      </c>
      <c r="D218" s="6" t="s">
        <v>710</v>
      </c>
      <c r="E218" s="6" t="s">
        <v>711</v>
      </c>
      <c r="F218" s="6" t="s">
        <v>611</v>
      </c>
      <c r="G218" s="6" t="s">
        <v>712</v>
      </c>
      <c r="H218" s="6" t="s">
        <v>115</v>
      </c>
      <c r="I218" s="6"/>
      <c r="J218" s="6" t="s">
        <v>19</v>
      </c>
      <c r="K218" s="6" t="s">
        <v>20</v>
      </c>
    </row>
    <row r="219" customFormat="false" ht="12.8" hidden="false" customHeight="false" outlineLevel="0" collapsed="false">
      <c r="A219" s="8" t="str">
        <f aca="false">HYPERLINK("https://www.fabsurplus.com/sdi_catalog/salesItemDetails.do?id=97078")</f>
        <v>https://www.fabsurplus.com/sdi_catalog/salesItemDetails.do?id=97078</v>
      </c>
      <c r="B219" s="8" t="s">
        <v>713</v>
      </c>
      <c r="C219" s="8" t="s">
        <v>709</v>
      </c>
      <c r="D219" s="8" t="s">
        <v>714</v>
      </c>
      <c r="E219" s="8" t="s">
        <v>715</v>
      </c>
      <c r="F219" s="8" t="s">
        <v>716</v>
      </c>
      <c r="G219" s="8" t="s">
        <v>263</v>
      </c>
      <c r="H219" s="8" t="s">
        <v>18</v>
      </c>
      <c r="I219" s="9" t="n">
        <v>42156</v>
      </c>
      <c r="J219" s="8" t="s">
        <v>81</v>
      </c>
      <c r="K219" s="8" t="s">
        <v>20</v>
      </c>
    </row>
    <row r="220" customFormat="false" ht="12.8" hidden="false" customHeight="false" outlineLevel="0" collapsed="false">
      <c r="A220" s="8" t="str">
        <f aca="false">HYPERLINK("https://www.fabsurplus.com/sdi_catalog/salesItemDetails.do?id=100716")</f>
        <v>https://www.fabsurplus.com/sdi_catalog/salesItemDetails.do?id=100716</v>
      </c>
      <c r="B220" s="8" t="s">
        <v>717</v>
      </c>
      <c r="C220" s="8" t="s">
        <v>29</v>
      </c>
      <c r="D220" s="8" t="s">
        <v>718</v>
      </c>
      <c r="E220" s="8" t="s">
        <v>719</v>
      </c>
      <c r="F220" s="8" t="s">
        <v>611</v>
      </c>
      <c r="G220" s="8" t="s">
        <v>43</v>
      </c>
      <c r="H220" s="8" t="s">
        <v>18</v>
      </c>
      <c r="I220" s="8"/>
      <c r="J220" s="8" t="s">
        <v>19</v>
      </c>
      <c r="K220" s="8" t="s">
        <v>20</v>
      </c>
    </row>
    <row r="221" customFormat="false" ht="12.8" hidden="false" customHeight="false" outlineLevel="0" collapsed="false">
      <c r="A221" s="8" t="str">
        <f aca="false">HYPERLINK("https://www.fabsurplus.com/sdi_catalog/salesItemDetails.do?id=98794")</f>
        <v>https://www.fabsurplus.com/sdi_catalog/salesItemDetails.do?id=98794</v>
      </c>
      <c r="B221" s="8" t="s">
        <v>720</v>
      </c>
      <c r="C221" s="8" t="s">
        <v>29</v>
      </c>
      <c r="D221" s="8" t="s">
        <v>721</v>
      </c>
      <c r="E221" s="8" t="s">
        <v>541</v>
      </c>
      <c r="F221" s="8" t="s">
        <v>16</v>
      </c>
      <c r="G221" s="8"/>
      <c r="H221" s="8"/>
      <c r="I221" s="9" t="n">
        <v>38504</v>
      </c>
      <c r="J221" s="8" t="s">
        <v>19</v>
      </c>
      <c r="K221" s="8"/>
    </row>
    <row r="222" customFormat="false" ht="12.8" hidden="false" customHeight="false" outlineLevel="0" collapsed="false">
      <c r="A222" s="6" t="str">
        <f aca="false">HYPERLINK("https://www.fabsurplus.com/sdi_catalog/salesItemDetails.do?id=97182")</f>
        <v>https://www.fabsurplus.com/sdi_catalog/salesItemDetails.do?id=97182</v>
      </c>
      <c r="B222" s="6" t="s">
        <v>722</v>
      </c>
      <c r="C222" s="6" t="s">
        <v>29</v>
      </c>
      <c r="D222" s="6" t="s">
        <v>723</v>
      </c>
      <c r="E222" s="6" t="s">
        <v>724</v>
      </c>
      <c r="F222" s="6" t="s">
        <v>16</v>
      </c>
      <c r="G222" s="6"/>
      <c r="H222" s="6" t="s">
        <v>33</v>
      </c>
      <c r="I222" s="6"/>
      <c r="J222" s="6" t="s">
        <v>19</v>
      </c>
      <c r="K222" s="6" t="s">
        <v>20</v>
      </c>
    </row>
    <row r="223" customFormat="false" ht="12.8" hidden="false" customHeight="false" outlineLevel="0" collapsed="false">
      <c r="A223" s="8" t="str">
        <f aca="false">HYPERLINK("https://www.fabsurplus.com/sdi_catalog/salesItemDetails.do?id=100651")</f>
        <v>https://www.fabsurplus.com/sdi_catalog/salesItemDetails.do?id=100651</v>
      </c>
      <c r="B223" s="8" t="s">
        <v>725</v>
      </c>
      <c r="C223" s="8" t="s">
        <v>35</v>
      </c>
      <c r="D223" s="8" t="s">
        <v>726</v>
      </c>
      <c r="E223" s="8" t="s">
        <v>541</v>
      </c>
      <c r="F223" s="8" t="s">
        <v>211</v>
      </c>
      <c r="G223" s="8" t="s">
        <v>38</v>
      </c>
      <c r="H223" s="8"/>
      <c r="I223" s="8"/>
      <c r="J223" s="8" t="s">
        <v>19</v>
      </c>
      <c r="K223" s="8"/>
    </row>
    <row r="224" customFormat="false" ht="12.8" hidden="false" customHeight="false" outlineLevel="0" collapsed="false">
      <c r="A224" s="6" t="str">
        <f aca="false">HYPERLINK("https://www.fabsurplus.com/sdi_catalog/salesItemDetails.do?id=100652")</f>
        <v>https://www.fabsurplus.com/sdi_catalog/salesItemDetails.do?id=100652</v>
      </c>
      <c r="B224" s="6" t="s">
        <v>727</v>
      </c>
      <c r="C224" s="6" t="s">
        <v>35</v>
      </c>
      <c r="D224" s="6" t="s">
        <v>728</v>
      </c>
      <c r="E224" s="6" t="s">
        <v>541</v>
      </c>
      <c r="F224" s="6" t="s">
        <v>16</v>
      </c>
      <c r="G224" s="6" t="s">
        <v>38</v>
      </c>
      <c r="H224" s="6"/>
      <c r="I224" s="6"/>
      <c r="J224" s="6" t="s">
        <v>19</v>
      </c>
      <c r="K224" s="6"/>
    </row>
    <row r="225" customFormat="false" ht="12.8" hidden="false" customHeight="false" outlineLevel="0" collapsed="false">
      <c r="A225" s="8" t="str">
        <f aca="false">HYPERLINK("https://www.fabsurplus.com/sdi_catalog/salesItemDetails.do?id=100653")</f>
        <v>https://www.fabsurplus.com/sdi_catalog/salesItemDetails.do?id=100653</v>
      </c>
      <c r="B225" s="8" t="s">
        <v>729</v>
      </c>
      <c r="C225" s="8" t="s">
        <v>35</v>
      </c>
      <c r="D225" s="8" t="s">
        <v>730</v>
      </c>
      <c r="E225" s="8" t="s">
        <v>731</v>
      </c>
      <c r="F225" s="8" t="s">
        <v>16</v>
      </c>
      <c r="G225" s="8" t="s">
        <v>38</v>
      </c>
      <c r="H225" s="8"/>
      <c r="I225" s="8"/>
      <c r="J225" s="8" t="s">
        <v>19</v>
      </c>
      <c r="K225" s="8"/>
    </row>
    <row r="226" customFormat="false" ht="12.8" hidden="false" customHeight="false" outlineLevel="0" collapsed="false">
      <c r="A226" s="6" t="str">
        <f aca="false">HYPERLINK("https://www.fabsurplus.com/sdi_catalog/salesItemDetails.do?id=100654")</f>
        <v>https://www.fabsurplus.com/sdi_catalog/salesItemDetails.do?id=100654</v>
      </c>
      <c r="B226" s="6" t="s">
        <v>732</v>
      </c>
      <c r="C226" s="6" t="s">
        <v>35</v>
      </c>
      <c r="D226" s="6" t="s">
        <v>733</v>
      </c>
      <c r="E226" s="6" t="s">
        <v>731</v>
      </c>
      <c r="F226" s="6" t="s">
        <v>16</v>
      </c>
      <c r="G226" s="6" t="s">
        <v>38</v>
      </c>
      <c r="H226" s="6"/>
      <c r="I226" s="6"/>
      <c r="J226" s="6" t="s">
        <v>19</v>
      </c>
      <c r="K226" s="6"/>
    </row>
    <row r="227" customFormat="false" ht="12.8" hidden="false" customHeight="false" outlineLevel="0" collapsed="false">
      <c r="A227" s="6" t="str">
        <f aca="false">HYPERLINK("https://www.fabsurplus.com/sdi_catalog/salesItemDetails.do?id=100655")</f>
        <v>https://www.fabsurplus.com/sdi_catalog/salesItemDetails.do?id=100655</v>
      </c>
      <c r="B227" s="6" t="s">
        <v>734</v>
      </c>
      <c r="C227" s="6" t="s">
        <v>35</v>
      </c>
      <c r="D227" s="6" t="s">
        <v>735</v>
      </c>
      <c r="E227" s="6" t="s">
        <v>736</v>
      </c>
      <c r="F227" s="6" t="s">
        <v>16</v>
      </c>
      <c r="G227" s="6" t="s">
        <v>38</v>
      </c>
      <c r="H227" s="6"/>
      <c r="I227" s="6"/>
      <c r="J227" s="6" t="s">
        <v>19</v>
      </c>
      <c r="K227" s="6"/>
    </row>
    <row r="228" customFormat="false" ht="12.8" hidden="false" customHeight="false" outlineLevel="0" collapsed="false">
      <c r="A228" s="6" t="str">
        <f aca="false">HYPERLINK("https://www.fabsurplus.com/sdi_catalog/salesItemDetails.do?id=100656")</f>
        <v>https://www.fabsurplus.com/sdi_catalog/salesItemDetails.do?id=100656</v>
      </c>
      <c r="B228" s="6" t="s">
        <v>737</v>
      </c>
      <c r="C228" s="6" t="s">
        <v>35</v>
      </c>
      <c r="D228" s="6" t="s">
        <v>738</v>
      </c>
      <c r="E228" s="6" t="s">
        <v>736</v>
      </c>
      <c r="F228" s="6" t="s">
        <v>626</v>
      </c>
      <c r="G228" s="6" t="s">
        <v>38</v>
      </c>
      <c r="H228" s="6"/>
      <c r="I228" s="6"/>
      <c r="J228" s="6" t="s">
        <v>19</v>
      </c>
      <c r="K228" s="6"/>
    </row>
    <row r="229" customFormat="false" ht="12.8" hidden="false" customHeight="false" outlineLevel="0" collapsed="false">
      <c r="A229" s="6" t="str">
        <f aca="false">HYPERLINK("https://www.fabsurplus.com/sdi_catalog/salesItemDetails.do?id=100657")</f>
        <v>https://www.fabsurplus.com/sdi_catalog/salesItemDetails.do?id=100657</v>
      </c>
      <c r="B229" s="6" t="s">
        <v>739</v>
      </c>
      <c r="C229" s="6" t="s">
        <v>35</v>
      </c>
      <c r="D229" s="6" t="s">
        <v>740</v>
      </c>
      <c r="E229" s="6" t="s">
        <v>586</v>
      </c>
      <c r="F229" s="6" t="s">
        <v>16</v>
      </c>
      <c r="G229" s="6" t="s">
        <v>38</v>
      </c>
      <c r="H229" s="6"/>
      <c r="I229" s="6"/>
      <c r="J229" s="6" t="s">
        <v>19</v>
      </c>
      <c r="K229" s="6"/>
    </row>
    <row r="230" customFormat="false" ht="12.8" hidden="false" customHeight="false" outlineLevel="0" collapsed="false">
      <c r="A230" s="8" t="str">
        <f aca="false">HYPERLINK("https://www.fabsurplus.com/sdi_catalog/salesItemDetails.do?id=100658")</f>
        <v>https://www.fabsurplus.com/sdi_catalog/salesItemDetails.do?id=100658</v>
      </c>
      <c r="B230" s="8" t="s">
        <v>741</v>
      </c>
      <c r="C230" s="8" t="s">
        <v>35</v>
      </c>
      <c r="D230" s="8" t="s">
        <v>50</v>
      </c>
      <c r="E230" s="8" t="s">
        <v>586</v>
      </c>
      <c r="F230" s="8" t="s">
        <v>742</v>
      </c>
      <c r="G230" s="8" t="s">
        <v>38</v>
      </c>
      <c r="H230" s="8"/>
      <c r="I230" s="8"/>
      <c r="J230" s="8" t="s">
        <v>19</v>
      </c>
      <c r="K230" s="8"/>
    </row>
    <row r="231" customFormat="false" ht="12.8" hidden="false" customHeight="false" outlineLevel="0" collapsed="false">
      <c r="A231" s="6" t="str">
        <f aca="false">HYPERLINK("https://www.fabsurplus.com/sdi_catalog/salesItemDetails.do?id=100659")</f>
        <v>https://www.fabsurplus.com/sdi_catalog/salesItemDetails.do?id=100659</v>
      </c>
      <c r="B231" s="6" t="s">
        <v>743</v>
      </c>
      <c r="C231" s="6" t="s">
        <v>35</v>
      </c>
      <c r="D231" s="6" t="s">
        <v>744</v>
      </c>
      <c r="E231" s="6" t="s">
        <v>586</v>
      </c>
      <c r="F231" s="6" t="s">
        <v>745</v>
      </c>
      <c r="G231" s="6" t="s">
        <v>38</v>
      </c>
      <c r="H231" s="6"/>
      <c r="I231" s="6"/>
      <c r="J231" s="6" t="s">
        <v>19</v>
      </c>
      <c r="K231" s="6"/>
    </row>
    <row r="232" customFormat="false" ht="12.8" hidden="false" customHeight="false" outlineLevel="0" collapsed="false">
      <c r="A232" s="8" t="str">
        <f aca="false">HYPERLINK("https://www.fabsurplus.com/sdi_catalog/salesItemDetails.do?id=98990")</f>
        <v>https://www.fabsurplus.com/sdi_catalog/salesItemDetails.do?id=98990</v>
      </c>
      <c r="B232" s="8" t="s">
        <v>746</v>
      </c>
      <c r="C232" s="8" t="s">
        <v>29</v>
      </c>
      <c r="D232" s="8" t="s">
        <v>747</v>
      </c>
      <c r="E232" s="8" t="s">
        <v>586</v>
      </c>
      <c r="F232" s="8" t="s">
        <v>16</v>
      </c>
      <c r="G232" s="8" t="s">
        <v>38</v>
      </c>
      <c r="H232" s="8"/>
      <c r="I232" s="9" t="n">
        <v>38504</v>
      </c>
      <c r="J232" s="8" t="s">
        <v>19</v>
      </c>
      <c r="K232" s="8"/>
    </row>
    <row r="233" customFormat="false" ht="12.8" hidden="false" customHeight="false" outlineLevel="0" collapsed="false">
      <c r="A233" s="6" t="str">
        <f aca="false">HYPERLINK("https://www.fabsurplus.com/sdi_catalog/salesItemDetails.do?id=100660")</f>
        <v>https://www.fabsurplus.com/sdi_catalog/salesItemDetails.do?id=100660</v>
      </c>
      <c r="B233" s="6" t="s">
        <v>748</v>
      </c>
      <c r="C233" s="6" t="s">
        <v>35</v>
      </c>
      <c r="D233" s="6" t="s">
        <v>749</v>
      </c>
      <c r="E233" s="6" t="s">
        <v>586</v>
      </c>
      <c r="F233" s="6" t="s">
        <v>611</v>
      </c>
      <c r="G233" s="6" t="s">
        <v>38</v>
      </c>
      <c r="H233" s="6"/>
      <c r="I233" s="6"/>
      <c r="J233" s="6" t="s">
        <v>19</v>
      </c>
      <c r="K233" s="6"/>
    </row>
    <row r="234" customFormat="false" ht="12.8" hidden="false" customHeight="false" outlineLevel="0" collapsed="false">
      <c r="A234" s="8" t="str">
        <f aca="false">HYPERLINK("https://www.fabsurplus.com/sdi_catalog/salesItemDetails.do?id=99844")</f>
        <v>https://www.fabsurplus.com/sdi_catalog/salesItemDetails.do?id=99844</v>
      </c>
      <c r="B234" s="8" t="s">
        <v>750</v>
      </c>
      <c r="C234" s="8" t="s">
        <v>29</v>
      </c>
      <c r="D234" s="8" t="s">
        <v>751</v>
      </c>
      <c r="E234" s="8" t="s">
        <v>752</v>
      </c>
      <c r="F234" s="8" t="s">
        <v>611</v>
      </c>
      <c r="G234" s="8"/>
      <c r="H234" s="8" t="s">
        <v>18</v>
      </c>
      <c r="I234" s="8"/>
      <c r="J234" s="8" t="s">
        <v>81</v>
      </c>
      <c r="K234" s="8" t="s">
        <v>20</v>
      </c>
    </row>
    <row r="235" customFormat="false" ht="12.8" hidden="false" customHeight="false" outlineLevel="0" collapsed="false">
      <c r="A235" s="8" t="str">
        <f aca="false">HYPERLINK("https://www.fabsurplus.com/sdi_catalog/salesItemDetails.do?id=99843")</f>
        <v>https://www.fabsurplus.com/sdi_catalog/salesItemDetails.do?id=99843</v>
      </c>
      <c r="B235" s="8" t="s">
        <v>753</v>
      </c>
      <c r="C235" s="8" t="s">
        <v>29</v>
      </c>
      <c r="D235" s="8" t="s">
        <v>754</v>
      </c>
      <c r="E235" s="8" t="s">
        <v>755</v>
      </c>
      <c r="F235" s="8" t="s">
        <v>611</v>
      </c>
      <c r="G235" s="8"/>
      <c r="H235" s="8" t="s">
        <v>18</v>
      </c>
      <c r="I235" s="8"/>
      <c r="J235" s="8" t="s">
        <v>19</v>
      </c>
      <c r="K235" s="8" t="s">
        <v>20</v>
      </c>
    </row>
    <row r="236" customFormat="false" ht="12.8" hidden="false" customHeight="false" outlineLevel="0" collapsed="false">
      <c r="A236" s="6" t="str">
        <f aca="false">HYPERLINK("https://www.fabsurplus.com/sdi_catalog/salesItemDetails.do?id=100661")</f>
        <v>https://www.fabsurplus.com/sdi_catalog/salesItemDetails.do?id=100661</v>
      </c>
      <c r="B236" s="6" t="s">
        <v>756</v>
      </c>
      <c r="C236" s="6" t="s">
        <v>35</v>
      </c>
      <c r="D236" s="6" t="s">
        <v>757</v>
      </c>
      <c r="E236" s="6" t="s">
        <v>586</v>
      </c>
      <c r="F236" s="6" t="s">
        <v>16</v>
      </c>
      <c r="G236" s="6" t="s">
        <v>38</v>
      </c>
      <c r="H236" s="6"/>
      <c r="I236" s="6"/>
      <c r="J236" s="6" t="s">
        <v>19</v>
      </c>
      <c r="K236" s="6"/>
    </row>
    <row r="237" customFormat="false" ht="12.8" hidden="false" customHeight="false" outlineLevel="0" collapsed="false">
      <c r="A237" s="8" t="str">
        <f aca="false">HYPERLINK("https://www.fabsurplus.com/sdi_catalog/salesItemDetails.do?id=100662")</f>
        <v>https://www.fabsurplus.com/sdi_catalog/salesItemDetails.do?id=100662</v>
      </c>
      <c r="B237" s="8" t="s">
        <v>758</v>
      </c>
      <c r="C237" s="8" t="s">
        <v>35</v>
      </c>
      <c r="D237" s="8" t="s">
        <v>759</v>
      </c>
      <c r="E237" s="8" t="s">
        <v>586</v>
      </c>
      <c r="F237" s="8" t="s">
        <v>611</v>
      </c>
      <c r="G237" s="8" t="s">
        <v>38</v>
      </c>
      <c r="H237" s="8"/>
      <c r="I237" s="8"/>
      <c r="J237" s="8" t="s">
        <v>19</v>
      </c>
      <c r="K237" s="8"/>
    </row>
    <row r="238" customFormat="false" ht="12.8" hidden="false" customHeight="false" outlineLevel="0" collapsed="false">
      <c r="A238" s="8" t="str">
        <f aca="false">HYPERLINK("https://www.fabsurplus.com/sdi_catalog/salesItemDetails.do?id=98554")</f>
        <v>https://www.fabsurplus.com/sdi_catalog/salesItemDetails.do?id=98554</v>
      </c>
      <c r="B238" s="8" t="s">
        <v>760</v>
      </c>
      <c r="C238" s="8" t="s">
        <v>35</v>
      </c>
      <c r="D238" s="8" t="s">
        <v>761</v>
      </c>
      <c r="E238" s="8" t="s">
        <v>762</v>
      </c>
      <c r="F238" s="8" t="s">
        <v>16</v>
      </c>
      <c r="G238" s="8" t="s">
        <v>38</v>
      </c>
      <c r="H238" s="8"/>
      <c r="I238" s="8"/>
      <c r="J238" s="8" t="s">
        <v>19</v>
      </c>
      <c r="K238" s="8"/>
    </row>
    <row r="239" customFormat="false" ht="12.8" hidden="false" customHeight="false" outlineLevel="0" collapsed="false">
      <c r="A239" s="8" t="str">
        <f aca="false">HYPERLINK("https://www.fabsurplus.com/sdi_catalog/salesItemDetails.do?id=99380")</f>
        <v>https://www.fabsurplus.com/sdi_catalog/salesItemDetails.do?id=99380</v>
      </c>
      <c r="B239" s="8" t="s">
        <v>763</v>
      </c>
      <c r="C239" s="8" t="s">
        <v>29</v>
      </c>
      <c r="D239" s="8" t="s">
        <v>764</v>
      </c>
      <c r="E239" s="8" t="s">
        <v>765</v>
      </c>
      <c r="F239" s="8" t="s">
        <v>16</v>
      </c>
      <c r="G239" s="8" t="s">
        <v>38</v>
      </c>
      <c r="H239" s="8" t="s">
        <v>33</v>
      </c>
      <c r="I239" s="8"/>
      <c r="J239" s="8" t="s">
        <v>19</v>
      </c>
      <c r="K239" s="8" t="s">
        <v>20</v>
      </c>
    </row>
    <row r="240" customFormat="false" ht="12.8" hidden="false" customHeight="false" outlineLevel="0" collapsed="false">
      <c r="A240" s="8" t="str">
        <f aca="false">HYPERLINK("https://www.fabsurplus.com/sdi_catalog/salesItemDetails.do?id=100663")</f>
        <v>https://www.fabsurplus.com/sdi_catalog/salesItemDetails.do?id=100663</v>
      </c>
      <c r="B240" s="8" t="s">
        <v>766</v>
      </c>
      <c r="C240" s="8" t="s">
        <v>35</v>
      </c>
      <c r="D240" s="8" t="s">
        <v>767</v>
      </c>
      <c r="E240" s="8" t="s">
        <v>731</v>
      </c>
      <c r="F240" s="8" t="s">
        <v>16</v>
      </c>
      <c r="G240" s="8" t="s">
        <v>38</v>
      </c>
      <c r="H240" s="8"/>
      <c r="I240" s="8"/>
      <c r="J240" s="8" t="s">
        <v>19</v>
      </c>
      <c r="K240" s="8"/>
    </row>
    <row r="241" customFormat="false" ht="12.8" hidden="false" customHeight="false" outlineLevel="0" collapsed="false">
      <c r="A241" s="8" t="str">
        <f aca="false">HYPERLINK("https://www.fabsurplus.com/sdi_catalog/salesItemDetails.do?id=100664")</f>
        <v>https://www.fabsurplus.com/sdi_catalog/salesItemDetails.do?id=100664</v>
      </c>
      <c r="B241" s="8" t="s">
        <v>768</v>
      </c>
      <c r="C241" s="8" t="s">
        <v>35</v>
      </c>
      <c r="D241" s="8" t="s">
        <v>769</v>
      </c>
      <c r="E241" s="8" t="s">
        <v>731</v>
      </c>
      <c r="F241" s="8" t="s">
        <v>16</v>
      </c>
      <c r="G241" s="8" t="s">
        <v>38</v>
      </c>
      <c r="H241" s="8"/>
      <c r="I241" s="8"/>
      <c r="J241" s="8" t="s">
        <v>19</v>
      </c>
      <c r="K241" s="8"/>
    </row>
    <row r="242" customFormat="false" ht="12.8" hidden="false" customHeight="false" outlineLevel="0" collapsed="false">
      <c r="A242" s="8" t="str">
        <f aca="false">HYPERLINK("https://www.fabsurplus.com/sdi_catalog/salesItemDetails.do?id=100665")</f>
        <v>https://www.fabsurplus.com/sdi_catalog/salesItemDetails.do?id=100665</v>
      </c>
      <c r="B242" s="8" t="s">
        <v>770</v>
      </c>
      <c r="C242" s="8" t="s">
        <v>35</v>
      </c>
      <c r="D242" s="8" t="s">
        <v>771</v>
      </c>
      <c r="E242" s="8" t="s">
        <v>731</v>
      </c>
      <c r="F242" s="8" t="s">
        <v>16</v>
      </c>
      <c r="G242" s="8" t="s">
        <v>38</v>
      </c>
      <c r="H242" s="8"/>
      <c r="I242" s="8"/>
      <c r="J242" s="8" t="s">
        <v>19</v>
      </c>
      <c r="K242" s="8"/>
    </row>
    <row r="243" customFormat="false" ht="12.8" hidden="false" customHeight="false" outlineLevel="0" collapsed="false">
      <c r="A243" s="8" t="str">
        <f aca="false">HYPERLINK("https://www.fabsurplus.com/sdi_catalog/salesItemDetails.do?id=100666")</f>
        <v>https://www.fabsurplus.com/sdi_catalog/salesItemDetails.do?id=100666</v>
      </c>
      <c r="B243" s="8" t="s">
        <v>772</v>
      </c>
      <c r="C243" s="8" t="s">
        <v>35</v>
      </c>
      <c r="D243" s="8" t="s">
        <v>773</v>
      </c>
      <c r="E243" s="8" t="s">
        <v>731</v>
      </c>
      <c r="F243" s="8" t="s">
        <v>16</v>
      </c>
      <c r="G243" s="8" t="s">
        <v>38</v>
      </c>
      <c r="H243" s="8"/>
      <c r="I243" s="8"/>
      <c r="J243" s="8" t="s">
        <v>19</v>
      </c>
      <c r="K243" s="8"/>
    </row>
    <row r="244" customFormat="false" ht="12.8" hidden="false" customHeight="false" outlineLevel="0" collapsed="false">
      <c r="A244" s="6" t="str">
        <f aca="false">HYPERLINK("https://www.fabsurplus.com/sdi_catalog/salesItemDetails.do?id=100667")</f>
        <v>https://www.fabsurplus.com/sdi_catalog/salesItemDetails.do?id=100667</v>
      </c>
      <c r="B244" s="6" t="s">
        <v>774</v>
      </c>
      <c r="C244" s="6" t="s">
        <v>35</v>
      </c>
      <c r="D244" s="6" t="s">
        <v>775</v>
      </c>
      <c r="E244" s="6" t="s">
        <v>731</v>
      </c>
      <c r="F244" s="6" t="s">
        <v>16</v>
      </c>
      <c r="G244" s="6" t="s">
        <v>38</v>
      </c>
      <c r="H244" s="6"/>
      <c r="I244" s="6"/>
      <c r="J244" s="6" t="s">
        <v>19</v>
      </c>
      <c r="K244" s="6"/>
    </row>
    <row r="245" customFormat="false" ht="12.8" hidden="false" customHeight="false" outlineLevel="0" collapsed="false">
      <c r="A245" s="6" t="str">
        <f aca="false">HYPERLINK("https://www.fabsurplus.com/sdi_catalog/salesItemDetails.do?id=100668")</f>
        <v>https://www.fabsurplus.com/sdi_catalog/salesItemDetails.do?id=100668</v>
      </c>
      <c r="B245" s="6" t="s">
        <v>776</v>
      </c>
      <c r="C245" s="6" t="s">
        <v>35</v>
      </c>
      <c r="D245" s="6" t="s">
        <v>777</v>
      </c>
      <c r="E245" s="6" t="s">
        <v>586</v>
      </c>
      <c r="F245" s="6" t="s">
        <v>16</v>
      </c>
      <c r="G245" s="6" t="s">
        <v>38</v>
      </c>
      <c r="H245" s="6"/>
      <c r="I245" s="6"/>
      <c r="J245" s="6" t="s">
        <v>19</v>
      </c>
      <c r="K245" s="6"/>
    </row>
    <row r="246" customFormat="false" ht="12.8" hidden="false" customHeight="false" outlineLevel="0" collapsed="false">
      <c r="A246" s="6" t="str">
        <f aca="false">HYPERLINK("https://www.fabsurplus.com/sdi_catalog/salesItemDetails.do?id=98221")</f>
        <v>https://www.fabsurplus.com/sdi_catalog/salesItemDetails.do?id=98221</v>
      </c>
      <c r="B246" s="6" t="s">
        <v>778</v>
      </c>
      <c r="C246" s="6" t="s">
        <v>779</v>
      </c>
      <c r="D246" s="6" t="s">
        <v>780</v>
      </c>
      <c r="E246" s="6" t="s">
        <v>752</v>
      </c>
      <c r="F246" s="6" t="s">
        <v>781</v>
      </c>
      <c r="G246" s="6" t="s">
        <v>38</v>
      </c>
      <c r="H246" s="6"/>
      <c r="I246" s="6"/>
      <c r="J246" s="6" t="s">
        <v>81</v>
      </c>
      <c r="K246" s="6"/>
    </row>
    <row r="247" customFormat="false" ht="15.45" hidden="false" customHeight="false" outlineLevel="0" collapsed="false">
      <c r="A247" s="8" t="str">
        <f aca="false">HYPERLINK("https://www.fabsurplus.com/sdi_catalog/salesItemDetails.do?id=98547")</f>
        <v>https://www.fabsurplus.com/sdi_catalog/salesItemDetails.do?id=98547</v>
      </c>
      <c r="B247" s="8" t="s">
        <v>782</v>
      </c>
      <c r="C247" s="8" t="s">
        <v>783</v>
      </c>
      <c r="D247" s="8" t="s">
        <v>721</v>
      </c>
      <c r="E247" s="8" t="s">
        <v>784</v>
      </c>
      <c r="F247" s="8" t="s">
        <v>611</v>
      </c>
      <c r="G247" s="8" t="s">
        <v>43</v>
      </c>
      <c r="H247" s="8" t="s">
        <v>33</v>
      </c>
      <c r="I247" s="8"/>
      <c r="J247" s="8" t="s">
        <v>19</v>
      </c>
      <c r="K247" s="8" t="s">
        <v>20</v>
      </c>
    </row>
    <row r="248" customFormat="false" ht="12.8" hidden="false" customHeight="false" outlineLevel="0" collapsed="false">
      <c r="A248" s="6" t="str">
        <f aca="false">HYPERLINK("https://www.fabsurplus.com/sdi_catalog/salesItemDetails.do?id=100052")</f>
        <v>https://www.fabsurplus.com/sdi_catalog/salesItemDetails.do?id=100052</v>
      </c>
      <c r="B248" s="6" t="s">
        <v>785</v>
      </c>
      <c r="C248" s="6" t="s">
        <v>786</v>
      </c>
      <c r="D248" s="6" t="s">
        <v>787</v>
      </c>
      <c r="E248" s="6" t="s">
        <v>788</v>
      </c>
      <c r="F248" s="6" t="s">
        <v>781</v>
      </c>
      <c r="G248" s="6" t="s">
        <v>789</v>
      </c>
      <c r="H248" s="6" t="s">
        <v>311</v>
      </c>
      <c r="I248" s="6"/>
      <c r="J248" s="6" t="s">
        <v>312</v>
      </c>
      <c r="K248" s="6" t="s">
        <v>20</v>
      </c>
    </row>
    <row r="249" customFormat="false" ht="12.8" hidden="false" customHeight="false" outlineLevel="0" collapsed="false">
      <c r="A249" s="8" t="str">
        <f aca="false">HYPERLINK("https://www.fabsurplus.com/sdi_catalog/salesItemDetails.do?id=98971")</f>
        <v>https://www.fabsurplus.com/sdi_catalog/salesItemDetails.do?id=98971</v>
      </c>
      <c r="B249" s="8" t="s">
        <v>790</v>
      </c>
      <c r="C249" s="8" t="s">
        <v>786</v>
      </c>
      <c r="D249" s="8" t="s">
        <v>791</v>
      </c>
      <c r="E249" s="8" t="s">
        <v>788</v>
      </c>
      <c r="F249" s="8" t="s">
        <v>16</v>
      </c>
      <c r="G249" s="8" t="s">
        <v>792</v>
      </c>
      <c r="H249" s="8" t="s">
        <v>311</v>
      </c>
      <c r="I249" s="8"/>
      <c r="J249" s="8" t="s">
        <v>312</v>
      </c>
      <c r="K249" s="8" t="s">
        <v>20</v>
      </c>
    </row>
    <row r="250" customFormat="false" ht="12.8" hidden="false" customHeight="false" outlineLevel="0" collapsed="false">
      <c r="A250" s="6" t="str">
        <f aca="false">HYPERLINK("https://www.fabsurplus.com/sdi_catalog/salesItemDetails.do?id=100722")</f>
        <v>https://www.fabsurplus.com/sdi_catalog/salesItemDetails.do?id=100722</v>
      </c>
      <c r="B250" s="6" t="s">
        <v>793</v>
      </c>
      <c r="C250" s="6" t="s">
        <v>794</v>
      </c>
      <c r="D250" s="6" t="s">
        <v>795</v>
      </c>
      <c r="E250" s="6" t="s">
        <v>796</v>
      </c>
      <c r="F250" s="6" t="s">
        <v>16</v>
      </c>
      <c r="G250" s="6"/>
      <c r="H250" s="6"/>
      <c r="I250" s="6"/>
      <c r="J250" s="6" t="s">
        <v>19</v>
      </c>
      <c r="K250" s="6"/>
    </row>
    <row r="251" customFormat="false" ht="12.8" hidden="false" customHeight="false" outlineLevel="0" collapsed="false">
      <c r="A251" s="8" t="str">
        <f aca="false">HYPERLINK("https://www.fabsurplus.com/sdi_catalog/salesItemDetails.do?id=98062")</f>
        <v>https://www.fabsurplus.com/sdi_catalog/salesItemDetails.do?id=98062</v>
      </c>
      <c r="B251" s="8" t="s">
        <v>797</v>
      </c>
      <c r="C251" s="8" t="s">
        <v>68</v>
      </c>
      <c r="D251" s="8" t="s">
        <v>798</v>
      </c>
      <c r="E251" s="8" t="s">
        <v>799</v>
      </c>
      <c r="F251" s="8" t="s">
        <v>16</v>
      </c>
      <c r="G251" s="8" t="s">
        <v>38</v>
      </c>
      <c r="H251" s="8"/>
      <c r="I251" s="9" t="n">
        <v>38504</v>
      </c>
      <c r="J251" s="8" t="s">
        <v>19</v>
      </c>
      <c r="K251" s="8"/>
    </row>
    <row r="252" customFormat="false" ht="12.8" hidden="false" customHeight="false" outlineLevel="0" collapsed="false">
      <c r="A252" s="6" t="str">
        <f aca="false">HYPERLINK("https://www.fabsurplus.com/sdi_catalog/salesItemDetails.do?id=98220")</f>
        <v>https://www.fabsurplus.com/sdi_catalog/salesItemDetails.do?id=98220</v>
      </c>
      <c r="B252" s="6" t="s">
        <v>800</v>
      </c>
      <c r="C252" s="6" t="s">
        <v>68</v>
      </c>
      <c r="D252" s="6" t="s">
        <v>801</v>
      </c>
      <c r="E252" s="6" t="s">
        <v>802</v>
      </c>
      <c r="F252" s="6" t="s">
        <v>781</v>
      </c>
      <c r="G252" s="6" t="s">
        <v>38</v>
      </c>
      <c r="H252" s="6"/>
      <c r="I252" s="6"/>
      <c r="J252" s="6" t="s">
        <v>81</v>
      </c>
      <c r="K252" s="6"/>
    </row>
    <row r="253" customFormat="false" ht="12.8" hidden="false" customHeight="false" outlineLevel="0" collapsed="false">
      <c r="A253" s="6" t="str">
        <f aca="false">HYPERLINK("https://www.fabsurplus.com/sdi_catalog/salesItemDetails.do?id=97847")</f>
        <v>https://www.fabsurplus.com/sdi_catalog/salesItemDetails.do?id=97847</v>
      </c>
      <c r="B253" s="6" t="s">
        <v>803</v>
      </c>
      <c r="C253" s="6" t="s">
        <v>68</v>
      </c>
      <c r="D253" s="6" t="s">
        <v>804</v>
      </c>
      <c r="E253" s="6" t="s">
        <v>805</v>
      </c>
      <c r="F253" s="6" t="s">
        <v>16</v>
      </c>
      <c r="G253" s="6"/>
      <c r="H253" s="6"/>
      <c r="I253" s="6"/>
      <c r="J253" s="6" t="s">
        <v>19</v>
      </c>
      <c r="K253" s="6"/>
    </row>
    <row r="254" customFormat="false" ht="12.8" hidden="false" customHeight="false" outlineLevel="0" collapsed="false">
      <c r="A254" s="6" t="str">
        <f aca="false">HYPERLINK("https://www.fabsurplus.com/sdi_catalog/salesItemDetails.do?id=100669")</f>
        <v>https://www.fabsurplus.com/sdi_catalog/salesItemDetails.do?id=100669</v>
      </c>
      <c r="B254" s="6" t="s">
        <v>806</v>
      </c>
      <c r="C254" s="6" t="s">
        <v>68</v>
      </c>
      <c r="D254" s="6" t="s">
        <v>807</v>
      </c>
      <c r="E254" s="6" t="s">
        <v>799</v>
      </c>
      <c r="F254" s="6" t="s">
        <v>211</v>
      </c>
      <c r="G254" s="6" t="s">
        <v>38</v>
      </c>
      <c r="H254" s="6"/>
      <c r="I254" s="6"/>
      <c r="J254" s="6" t="s">
        <v>19</v>
      </c>
      <c r="K254" s="6"/>
    </row>
    <row r="255" customFormat="false" ht="12.8" hidden="false" customHeight="false" outlineLevel="0" collapsed="false">
      <c r="A255" s="8" t="str">
        <f aca="false">HYPERLINK("https://www.fabsurplus.com/sdi_catalog/salesItemDetails.do?id=98219")</f>
        <v>https://www.fabsurplus.com/sdi_catalog/salesItemDetails.do?id=98219</v>
      </c>
      <c r="B255" s="8" t="s">
        <v>808</v>
      </c>
      <c r="C255" s="8" t="s">
        <v>68</v>
      </c>
      <c r="D255" s="8" t="s">
        <v>809</v>
      </c>
      <c r="E255" s="8" t="s">
        <v>802</v>
      </c>
      <c r="F255" s="8" t="s">
        <v>781</v>
      </c>
      <c r="G255" s="8" t="s">
        <v>38</v>
      </c>
      <c r="H255" s="8"/>
      <c r="I255" s="8"/>
      <c r="J255" s="8" t="s">
        <v>81</v>
      </c>
      <c r="K255" s="8"/>
    </row>
    <row r="256" customFormat="false" ht="12.8" hidden="false" customHeight="false" outlineLevel="0" collapsed="false">
      <c r="A256" s="8" t="str">
        <f aca="false">HYPERLINK("https://www.fabsurplus.com/sdi_catalog/salesItemDetails.do?id=98704")</f>
        <v>https://www.fabsurplus.com/sdi_catalog/salesItemDetails.do?id=98704</v>
      </c>
      <c r="B256" s="8" t="s">
        <v>810</v>
      </c>
      <c r="C256" s="8" t="s">
        <v>811</v>
      </c>
      <c r="D256" s="8" t="s">
        <v>812</v>
      </c>
      <c r="E256" s="8" t="s">
        <v>799</v>
      </c>
      <c r="F256" s="8" t="s">
        <v>16</v>
      </c>
      <c r="G256" s="8" t="s">
        <v>43</v>
      </c>
      <c r="H256" s="8" t="s">
        <v>33</v>
      </c>
      <c r="I256" s="8"/>
      <c r="J256" s="8" t="s">
        <v>19</v>
      </c>
      <c r="K256" s="8" t="s">
        <v>20</v>
      </c>
    </row>
    <row r="257" customFormat="false" ht="12.8" hidden="false" customHeight="false" outlineLevel="0" collapsed="false">
      <c r="A257" s="6" t="str">
        <f aca="false">HYPERLINK("https://www.fabsurplus.com/sdi_catalog/salesItemDetails.do?id=98546")</f>
        <v>https://www.fabsurplus.com/sdi_catalog/salesItemDetails.do?id=98546</v>
      </c>
      <c r="B257" s="6" t="s">
        <v>813</v>
      </c>
      <c r="C257" s="6" t="s">
        <v>811</v>
      </c>
      <c r="D257" s="6" t="s">
        <v>812</v>
      </c>
      <c r="E257" s="6" t="s">
        <v>799</v>
      </c>
      <c r="F257" s="6" t="s">
        <v>16</v>
      </c>
      <c r="G257" s="6" t="s">
        <v>43</v>
      </c>
      <c r="H257" s="6" t="s">
        <v>33</v>
      </c>
      <c r="I257" s="6"/>
      <c r="J257" s="6" t="s">
        <v>19</v>
      </c>
      <c r="K257" s="6" t="s">
        <v>20</v>
      </c>
    </row>
    <row r="258" customFormat="false" ht="12.8" hidden="false" customHeight="false" outlineLevel="0" collapsed="false">
      <c r="A258" s="6" t="str">
        <f aca="false">HYPERLINK("https://www.fabsurplus.com/sdi_catalog/salesItemDetails.do?id=99082")</f>
        <v>https://www.fabsurplus.com/sdi_catalog/salesItemDetails.do?id=99082</v>
      </c>
      <c r="B258" s="6" t="s">
        <v>814</v>
      </c>
      <c r="C258" s="6" t="s">
        <v>815</v>
      </c>
      <c r="D258" s="6" t="s">
        <v>816</v>
      </c>
      <c r="E258" s="6" t="s">
        <v>799</v>
      </c>
      <c r="F258" s="6" t="s">
        <v>16</v>
      </c>
      <c r="G258" s="6"/>
      <c r="H258" s="6"/>
      <c r="I258" s="6"/>
      <c r="J258" s="6" t="s">
        <v>19</v>
      </c>
      <c r="K258" s="6"/>
    </row>
    <row r="259" customFormat="false" ht="12.8" hidden="false" customHeight="false" outlineLevel="0" collapsed="false">
      <c r="A259" s="8" t="str">
        <f aca="false">HYPERLINK("https://www.fabsurplus.com/sdi_catalog/salesItemDetails.do?id=100030")</f>
        <v>https://www.fabsurplus.com/sdi_catalog/salesItemDetails.do?id=100030</v>
      </c>
      <c r="B259" s="8" t="s">
        <v>817</v>
      </c>
      <c r="C259" s="8" t="s">
        <v>818</v>
      </c>
      <c r="D259" s="8" t="s">
        <v>819</v>
      </c>
      <c r="E259" s="8" t="s">
        <v>752</v>
      </c>
      <c r="F259" s="8" t="s">
        <v>16</v>
      </c>
      <c r="G259" s="8" t="s">
        <v>43</v>
      </c>
      <c r="H259" s="8"/>
      <c r="I259" s="9" t="n">
        <v>40940</v>
      </c>
      <c r="J259" s="8" t="s">
        <v>19</v>
      </c>
      <c r="K259" s="8"/>
    </row>
    <row r="260" customFormat="false" ht="12.8" hidden="false" customHeight="false" outlineLevel="0" collapsed="false">
      <c r="A260" s="8" t="str">
        <f aca="false">HYPERLINK("https://www.fabsurplus.com/sdi_catalog/salesItemDetails.do?id=100056")</f>
        <v>https://www.fabsurplus.com/sdi_catalog/salesItemDetails.do?id=100056</v>
      </c>
      <c r="B260" s="8" t="s">
        <v>820</v>
      </c>
      <c r="C260" s="8" t="s">
        <v>821</v>
      </c>
      <c r="D260" s="8" t="s">
        <v>822</v>
      </c>
      <c r="E260" s="8" t="s">
        <v>823</v>
      </c>
      <c r="F260" s="8" t="s">
        <v>16</v>
      </c>
      <c r="G260" s="8"/>
      <c r="H260" s="8" t="s">
        <v>18</v>
      </c>
      <c r="I260" s="8"/>
      <c r="J260" s="8" t="s">
        <v>19</v>
      </c>
      <c r="K260" s="8" t="s">
        <v>20</v>
      </c>
    </row>
    <row r="261" customFormat="false" ht="12.8" hidden="false" customHeight="false" outlineLevel="0" collapsed="false">
      <c r="A261" s="6" t="str">
        <f aca="false">HYPERLINK("https://www.fabsurplus.com/sdi_catalog/salesItemDetails.do?id=98513")</f>
        <v>https://www.fabsurplus.com/sdi_catalog/salesItemDetails.do?id=98513</v>
      </c>
      <c r="B261" s="6" t="s">
        <v>824</v>
      </c>
      <c r="C261" s="6" t="s">
        <v>825</v>
      </c>
      <c r="D261" s="6" t="s">
        <v>826</v>
      </c>
      <c r="E261" s="6" t="s">
        <v>827</v>
      </c>
      <c r="F261" s="6" t="s">
        <v>16</v>
      </c>
      <c r="G261" s="6" t="s">
        <v>32</v>
      </c>
      <c r="H261" s="6"/>
      <c r="I261" s="6"/>
      <c r="J261" s="6" t="s">
        <v>19</v>
      </c>
      <c r="K261" s="6"/>
    </row>
    <row r="262" customFormat="false" ht="12.8" hidden="false" customHeight="false" outlineLevel="0" collapsed="false">
      <c r="A262" s="6" t="str">
        <f aca="false">HYPERLINK("https://www.fabsurplus.com/sdi_catalog/salesItemDetails.do?id=97051")</f>
        <v>https://www.fabsurplus.com/sdi_catalog/salesItemDetails.do?id=97051</v>
      </c>
      <c r="B262" s="6" t="s">
        <v>828</v>
      </c>
      <c r="C262" s="6" t="s">
        <v>829</v>
      </c>
      <c r="D262" s="6" t="s">
        <v>830</v>
      </c>
      <c r="E262" s="6" t="s">
        <v>831</v>
      </c>
      <c r="F262" s="6" t="s">
        <v>16</v>
      </c>
      <c r="G262" s="6" t="s">
        <v>832</v>
      </c>
      <c r="H262" s="6" t="s">
        <v>18</v>
      </c>
      <c r="I262" s="7" t="n">
        <v>39083</v>
      </c>
      <c r="J262" s="6" t="s">
        <v>19</v>
      </c>
      <c r="K262" s="6" t="s">
        <v>20</v>
      </c>
    </row>
    <row r="263" customFormat="false" ht="12.8" hidden="false" customHeight="false" outlineLevel="0" collapsed="false">
      <c r="A263" s="6" t="str">
        <f aca="false">HYPERLINK("https://www.fabsurplus.com/sdi_catalog/salesItemDetails.do?id=100065")</f>
        <v>https://www.fabsurplus.com/sdi_catalog/salesItemDetails.do?id=100065</v>
      </c>
      <c r="B263" s="6" t="s">
        <v>833</v>
      </c>
      <c r="C263" s="6" t="s">
        <v>834</v>
      </c>
      <c r="D263" s="6" t="s">
        <v>835</v>
      </c>
      <c r="E263" s="6" t="s">
        <v>836</v>
      </c>
      <c r="F263" s="6" t="s">
        <v>16</v>
      </c>
      <c r="G263" s="6" t="s">
        <v>837</v>
      </c>
      <c r="H263" s="6"/>
      <c r="I263" s="6"/>
      <c r="J263" s="6" t="s">
        <v>19</v>
      </c>
      <c r="K263" s="6"/>
    </row>
    <row r="264" customFormat="false" ht="12.8" hidden="false" customHeight="false" outlineLevel="0" collapsed="false">
      <c r="A264" s="8" t="str">
        <f aca="false">HYPERLINK("https://www.fabsurplus.com/sdi_catalog/salesItemDetails.do?id=100064")</f>
        <v>https://www.fabsurplus.com/sdi_catalog/salesItemDetails.do?id=100064</v>
      </c>
      <c r="B264" s="8" t="s">
        <v>838</v>
      </c>
      <c r="C264" s="8" t="s">
        <v>834</v>
      </c>
      <c r="D264" s="8" t="s">
        <v>839</v>
      </c>
      <c r="E264" s="8" t="s">
        <v>836</v>
      </c>
      <c r="F264" s="8" t="s">
        <v>16</v>
      </c>
      <c r="G264" s="8" t="s">
        <v>837</v>
      </c>
      <c r="H264" s="8"/>
      <c r="I264" s="8"/>
      <c r="J264" s="8" t="s">
        <v>19</v>
      </c>
      <c r="K264" s="8"/>
    </row>
    <row r="265" customFormat="false" ht="12.8" hidden="false" customHeight="false" outlineLevel="0" collapsed="false">
      <c r="A265" s="6" t="str">
        <f aca="false">HYPERLINK("https://www.fabsurplus.com/sdi_catalog/salesItemDetails.do?id=100063")</f>
        <v>https://www.fabsurplus.com/sdi_catalog/salesItemDetails.do?id=100063</v>
      </c>
      <c r="B265" s="6" t="s">
        <v>840</v>
      </c>
      <c r="C265" s="6" t="s">
        <v>834</v>
      </c>
      <c r="D265" s="6" t="s">
        <v>839</v>
      </c>
      <c r="E265" s="6" t="s">
        <v>836</v>
      </c>
      <c r="F265" s="6" t="s">
        <v>16</v>
      </c>
      <c r="G265" s="6" t="s">
        <v>837</v>
      </c>
      <c r="H265" s="6"/>
      <c r="I265" s="6"/>
      <c r="J265" s="6" t="s">
        <v>19</v>
      </c>
      <c r="K265" s="6"/>
    </row>
    <row r="266" customFormat="false" ht="12.8" hidden="false" customHeight="false" outlineLevel="0" collapsed="false">
      <c r="A266" s="6" t="str">
        <f aca="false">HYPERLINK("https://www.fabsurplus.com/sdi_catalog/salesItemDetails.do?id=96799")</f>
        <v>https://www.fabsurplus.com/sdi_catalog/salesItemDetails.do?id=96799</v>
      </c>
      <c r="B266" s="6" t="s">
        <v>841</v>
      </c>
      <c r="C266" s="6" t="s">
        <v>834</v>
      </c>
      <c r="D266" s="6" t="s">
        <v>839</v>
      </c>
      <c r="E266" s="6" t="s">
        <v>836</v>
      </c>
      <c r="F266" s="6" t="s">
        <v>781</v>
      </c>
      <c r="G266" s="6" t="s">
        <v>837</v>
      </c>
      <c r="H266" s="6"/>
      <c r="I266" s="6"/>
      <c r="J266" s="6" t="s">
        <v>19</v>
      </c>
      <c r="K266" s="6"/>
    </row>
    <row r="267" customFormat="false" ht="12.8" hidden="false" customHeight="false" outlineLevel="0" collapsed="false">
      <c r="A267" s="8" t="str">
        <f aca="false">HYPERLINK("https://www.fabsurplus.com/sdi_catalog/salesItemDetails.do?id=100068")</f>
        <v>https://www.fabsurplus.com/sdi_catalog/salesItemDetails.do?id=100068</v>
      </c>
      <c r="B267" s="8" t="s">
        <v>842</v>
      </c>
      <c r="C267" s="8" t="s">
        <v>834</v>
      </c>
      <c r="D267" s="8" t="s">
        <v>843</v>
      </c>
      <c r="E267" s="8" t="s">
        <v>836</v>
      </c>
      <c r="F267" s="8" t="s">
        <v>16</v>
      </c>
      <c r="G267" s="8" t="s">
        <v>837</v>
      </c>
      <c r="H267" s="8"/>
      <c r="I267" s="8"/>
      <c r="J267" s="8" t="s">
        <v>19</v>
      </c>
      <c r="K267" s="8"/>
    </row>
    <row r="268" customFormat="false" ht="12.8" hidden="false" customHeight="false" outlineLevel="0" collapsed="false">
      <c r="A268" s="6" t="str">
        <f aca="false">HYPERLINK("https://www.fabsurplus.com/sdi_catalog/salesItemDetails.do?id=100067")</f>
        <v>https://www.fabsurplus.com/sdi_catalog/salesItemDetails.do?id=100067</v>
      </c>
      <c r="B268" s="6" t="s">
        <v>844</v>
      </c>
      <c r="C268" s="6" t="s">
        <v>834</v>
      </c>
      <c r="D268" s="6" t="s">
        <v>843</v>
      </c>
      <c r="E268" s="6" t="s">
        <v>836</v>
      </c>
      <c r="F268" s="6" t="s">
        <v>16</v>
      </c>
      <c r="G268" s="6" t="s">
        <v>837</v>
      </c>
      <c r="H268" s="6"/>
      <c r="I268" s="6"/>
      <c r="J268" s="6" t="s">
        <v>19</v>
      </c>
      <c r="K268" s="6"/>
    </row>
    <row r="269" customFormat="false" ht="12.8" hidden="false" customHeight="false" outlineLevel="0" collapsed="false">
      <c r="A269" s="8" t="str">
        <f aca="false">HYPERLINK("https://www.fabsurplus.com/sdi_catalog/salesItemDetails.do?id=100066")</f>
        <v>https://www.fabsurplus.com/sdi_catalog/salesItemDetails.do?id=100066</v>
      </c>
      <c r="B269" s="8" t="s">
        <v>845</v>
      </c>
      <c r="C269" s="8" t="s">
        <v>834</v>
      </c>
      <c r="D269" s="8" t="s">
        <v>843</v>
      </c>
      <c r="E269" s="8" t="s">
        <v>836</v>
      </c>
      <c r="F269" s="8" t="s">
        <v>16</v>
      </c>
      <c r="G269" s="8" t="s">
        <v>837</v>
      </c>
      <c r="H269" s="8"/>
      <c r="I269" s="8"/>
      <c r="J269" s="8" t="s">
        <v>19</v>
      </c>
      <c r="K269" s="8"/>
    </row>
    <row r="270" customFormat="false" ht="12.8" hidden="false" customHeight="false" outlineLevel="0" collapsed="false">
      <c r="A270" s="8" t="str">
        <f aca="false">HYPERLINK("https://www.fabsurplus.com/sdi_catalog/salesItemDetails.do?id=99085")</f>
        <v>https://www.fabsurplus.com/sdi_catalog/salesItemDetails.do?id=99085</v>
      </c>
      <c r="B270" s="8" t="s">
        <v>846</v>
      </c>
      <c r="C270" s="8" t="s">
        <v>834</v>
      </c>
      <c r="D270" s="8" t="s">
        <v>847</v>
      </c>
      <c r="E270" s="8" t="s">
        <v>836</v>
      </c>
      <c r="F270" s="8" t="s">
        <v>16</v>
      </c>
      <c r="G270" s="8"/>
      <c r="H270" s="8"/>
      <c r="I270" s="8"/>
      <c r="J270" s="8" t="s">
        <v>19</v>
      </c>
      <c r="K270" s="8"/>
    </row>
    <row r="271" customFormat="false" ht="12.8" hidden="false" customHeight="false" outlineLevel="0" collapsed="false">
      <c r="A271" s="8" t="str">
        <f aca="false">HYPERLINK("https://www.fabsurplus.com/sdi_catalog/salesItemDetails.do?id=100072")</f>
        <v>https://www.fabsurplus.com/sdi_catalog/salesItemDetails.do?id=100072</v>
      </c>
      <c r="B271" s="8" t="s">
        <v>848</v>
      </c>
      <c r="C271" s="8" t="s">
        <v>834</v>
      </c>
      <c r="D271" s="8" t="s">
        <v>849</v>
      </c>
      <c r="E271" s="8" t="s">
        <v>836</v>
      </c>
      <c r="F271" s="8" t="s">
        <v>16</v>
      </c>
      <c r="G271" s="8" t="s">
        <v>837</v>
      </c>
      <c r="H271" s="8"/>
      <c r="I271" s="8"/>
      <c r="J271" s="8" t="s">
        <v>19</v>
      </c>
      <c r="K271" s="8"/>
    </row>
    <row r="272" customFormat="false" ht="12.8" hidden="false" customHeight="false" outlineLevel="0" collapsed="false">
      <c r="A272" s="6" t="str">
        <f aca="false">HYPERLINK("https://www.fabsurplus.com/sdi_catalog/salesItemDetails.do?id=100071")</f>
        <v>https://www.fabsurplus.com/sdi_catalog/salesItemDetails.do?id=100071</v>
      </c>
      <c r="B272" s="6" t="s">
        <v>850</v>
      </c>
      <c r="C272" s="6" t="s">
        <v>834</v>
      </c>
      <c r="D272" s="6" t="s">
        <v>851</v>
      </c>
      <c r="E272" s="6" t="s">
        <v>836</v>
      </c>
      <c r="F272" s="6" t="s">
        <v>16</v>
      </c>
      <c r="G272" s="6" t="s">
        <v>837</v>
      </c>
      <c r="H272" s="6"/>
      <c r="I272" s="6"/>
      <c r="J272" s="6" t="s">
        <v>19</v>
      </c>
      <c r="K272" s="6"/>
    </row>
    <row r="273" customFormat="false" ht="12.8" hidden="false" customHeight="false" outlineLevel="0" collapsed="false">
      <c r="A273" s="8" t="str">
        <f aca="false">HYPERLINK("https://www.fabsurplus.com/sdi_catalog/salesItemDetails.do?id=100070")</f>
        <v>https://www.fabsurplus.com/sdi_catalog/salesItemDetails.do?id=100070</v>
      </c>
      <c r="B273" s="8" t="s">
        <v>852</v>
      </c>
      <c r="C273" s="8" t="s">
        <v>834</v>
      </c>
      <c r="D273" s="8" t="s">
        <v>851</v>
      </c>
      <c r="E273" s="8" t="s">
        <v>836</v>
      </c>
      <c r="F273" s="8" t="s">
        <v>16</v>
      </c>
      <c r="G273" s="8" t="s">
        <v>837</v>
      </c>
      <c r="H273" s="8"/>
      <c r="I273" s="8"/>
      <c r="J273" s="8" t="s">
        <v>19</v>
      </c>
      <c r="K273" s="8"/>
    </row>
    <row r="274" customFormat="false" ht="12.8" hidden="false" customHeight="false" outlineLevel="0" collapsed="false">
      <c r="A274" s="6" t="str">
        <f aca="false">HYPERLINK("https://www.fabsurplus.com/sdi_catalog/salesItemDetails.do?id=100069")</f>
        <v>https://www.fabsurplus.com/sdi_catalog/salesItemDetails.do?id=100069</v>
      </c>
      <c r="B274" s="6" t="s">
        <v>853</v>
      </c>
      <c r="C274" s="6" t="s">
        <v>834</v>
      </c>
      <c r="D274" s="6" t="s">
        <v>851</v>
      </c>
      <c r="E274" s="6" t="s">
        <v>836</v>
      </c>
      <c r="F274" s="6" t="s">
        <v>16</v>
      </c>
      <c r="G274" s="6" t="s">
        <v>837</v>
      </c>
      <c r="H274" s="6"/>
      <c r="I274" s="6"/>
      <c r="J274" s="6" t="s">
        <v>19</v>
      </c>
      <c r="K274" s="6"/>
    </row>
    <row r="275" customFormat="false" ht="12.8" hidden="false" customHeight="false" outlineLevel="0" collapsed="false">
      <c r="A275" s="8" t="str">
        <f aca="false">HYPERLINK("https://www.fabsurplus.com/sdi_catalog/salesItemDetails.do?id=98706")</f>
        <v>https://www.fabsurplus.com/sdi_catalog/salesItemDetails.do?id=98706</v>
      </c>
      <c r="B275" s="8" t="s">
        <v>854</v>
      </c>
      <c r="C275" s="8" t="s">
        <v>834</v>
      </c>
      <c r="D275" s="8" t="s">
        <v>855</v>
      </c>
      <c r="E275" s="8" t="s">
        <v>836</v>
      </c>
      <c r="F275" s="8" t="s">
        <v>16</v>
      </c>
      <c r="G275" s="8" t="s">
        <v>183</v>
      </c>
      <c r="H275" s="8" t="s">
        <v>115</v>
      </c>
      <c r="I275" s="9" t="n">
        <v>39600</v>
      </c>
      <c r="J275" s="8" t="s">
        <v>19</v>
      </c>
      <c r="K275" s="8" t="s">
        <v>20</v>
      </c>
    </row>
    <row r="276" customFormat="false" ht="12.8" hidden="false" customHeight="false" outlineLevel="0" collapsed="false">
      <c r="A276" s="8" t="str">
        <f aca="false">HYPERLINK("https://www.fabsurplus.com/sdi_catalog/salesItemDetails.do?id=97515")</f>
        <v>https://www.fabsurplus.com/sdi_catalog/salesItemDetails.do?id=97515</v>
      </c>
      <c r="B276" s="8" t="s">
        <v>856</v>
      </c>
      <c r="C276" s="8" t="s">
        <v>834</v>
      </c>
      <c r="D276" s="8" t="s">
        <v>857</v>
      </c>
      <c r="E276" s="8" t="s">
        <v>836</v>
      </c>
      <c r="F276" s="8" t="s">
        <v>16</v>
      </c>
      <c r="G276" s="8" t="s">
        <v>183</v>
      </c>
      <c r="H276" s="8"/>
      <c r="I276" s="8"/>
      <c r="J276" s="8" t="s">
        <v>19</v>
      </c>
      <c r="K276" s="8"/>
    </row>
    <row r="277" customFormat="false" ht="12.8" hidden="false" customHeight="false" outlineLevel="0" collapsed="false">
      <c r="A277" s="6" t="str">
        <f aca="false">HYPERLINK("https://www.fabsurplus.com/sdi_catalog/salesItemDetails.do?id=100073")</f>
        <v>https://www.fabsurplus.com/sdi_catalog/salesItemDetails.do?id=100073</v>
      </c>
      <c r="B277" s="6" t="s">
        <v>858</v>
      </c>
      <c r="C277" s="6" t="s">
        <v>834</v>
      </c>
      <c r="D277" s="6" t="s">
        <v>859</v>
      </c>
      <c r="E277" s="6" t="s">
        <v>836</v>
      </c>
      <c r="F277" s="6" t="s">
        <v>16</v>
      </c>
      <c r="G277" s="6" t="s">
        <v>837</v>
      </c>
      <c r="H277" s="6"/>
      <c r="I277" s="6"/>
      <c r="J277" s="6" t="s">
        <v>19</v>
      </c>
      <c r="K277" s="6"/>
    </row>
    <row r="278" customFormat="false" ht="12.8" hidden="false" customHeight="false" outlineLevel="0" collapsed="false">
      <c r="A278" s="6" t="str">
        <f aca="false">HYPERLINK("https://www.fabsurplus.com/sdi_catalog/salesItemDetails.do?id=97848")</f>
        <v>https://www.fabsurplus.com/sdi_catalog/salesItemDetails.do?id=97848</v>
      </c>
      <c r="B278" s="6" t="s">
        <v>860</v>
      </c>
      <c r="C278" s="6" t="s">
        <v>861</v>
      </c>
      <c r="D278" s="6" t="s">
        <v>862</v>
      </c>
      <c r="E278" s="6" t="s">
        <v>863</v>
      </c>
      <c r="F278" s="6" t="s">
        <v>16</v>
      </c>
      <c r="G278" s="6"/>
      <c r="H278" s="6"/>
      <c r="I278" s="6"/>
      <c r="J278" s="6" t="s">
        <v>19</v>
      </c>
      <c r="K278" s="6"/>
    </row>
    <row r="279" customFormat="false" ht="12.8" hidden="false" customHeight="false" outlineLevel="0" collapsed="false">
      <c r="A279" s="8" t="str">
        <f aca="false">HYPERLINK("https://www.fabsurplus.com/sdi_catalog/salesItemDetails.do?id=100699")</f>
        <v>https://www.fabsurplus.com/sdi_catalog/salesItemDetails.do?id=100699</v>
      </c>
      <c r="B279" s="8" t="s">
        <v>864</v>
      </c>
      <c r="C279" s="8" t="s">
        <v>865</v>
      </c>
      <c r="D279" s="8" t="s">
        <v>866</v>
      </c>
      <c r="E279" s="8" t="s">
        <v>867</v>
      </c>
      <c r="F279" s="8" t="s">
        <v>16</v>
      </c>
      <c r="G279" s="8"/>
      <c r="H279" s="8"/>
      <c r="I279" s="9" t="n">
        <v>35309</v>
      </c>
      <c r="J279" s="8" t="s">
        <v>19</v>
      </c>
      <c r="K279" s="8"/>
    </row>
    <row r="280" customFormat="false" ht="12.8" hidden="false" customHeight="false" outlineLevel="0" collapsed="false">
      <c r="A280" s="6" t="str">
        <f aca="false">HYPERLINK("https://www.fabsurplus.com/sdi_catalog/salesItemDetails.do?id=100700")</f>
        <v>https://www.fabsurplus.com/sdi_catalog/salesItemDetails.do?id=100700</v>
      </c>
      <c r="B280" s="6" t="s">
        <v>868</v>
      </c>
      <c r="C280" s="6" t="s">
        <v>865</v>
      </c>
      <c r="D280" s="6" t="s">
        <v>869</v>
      </c>
      <c r="E280" s="6" t="s">
        <v>870</v>
      </c>
      <c r="F280" s="6" t="s">
        <v>16</v>
      </c>
      <c r="G280" s="6"/>
      <c r="H280" s="6"/>
      <c r="I280" s="7" t="n">
        <v>37773</v>
      </c>
      <c r="J280" s="6" t="s">
        <v>19</v>
      </c>
      <c r="K280" s="6"/>
    </row>
    <row r="281" customFormat="false" ht="12.8" hidden="false" customHeight="false" outlineLevel="0" collapsed="false">
      <c r="A281" s="8" t="str">
        <f aca="false">HYPERLINK("https://www.fabsurplus.com/sdi_catalog/salesItemDetails.do?id=100074")</f>
        <v>https://www.fabsurplus.com/sdi_catalog/salesItemDetails.do?id=100074</v>
      </c>
      <c r="B281" s="8" t="s">
        <v>871</v>
      </c>
      <c r="C281" s="8" t="s">
        <v>872</v>
      </c>
      <c r="D281" s="8" t="s">
        <v>873</v>
      </c>
      <c r="E281" s="8" t="s">
        <v>874</v>
      </c>
      <c r="F281" s="8" t="s">
        <v>16</v>
      </c>
      <c r="G281" s="8" t="s">
        <v>686</v>
      </c>
      <c r="H281" s="8"/>
      <c r="I281" s="8"/>
      <c r="J281" s="8" t="s">
        <v>19</v>
      </c>
      <c r="K281" s="8"/>
    </row>
    <row r="282" customFormat="false" ht="12.8" hidden="false" customHeight="false" outlineLevel="0" collapsed="false">
      <c r="A282" s="8" t="str">
        <f aca="false">HYPERLINK("https://www.fabsurplus.com/sdi_catalog/salesItemDetails.do?id=100670")</f>
        <v>https://www.fabsurplus.com/sdi_catalog/salesItemDetails.do?id=100670</v>
      </c>
      <c r="B282" s="8" t="s">
        <v>875</v>
      </c>
      <c r="C282" s="8" t="s">
        <v>876</v>
      </c>
      <c r="D282" s="8" t="s">
        <v>877</v>
      </c>
      <c r="E282" s="8" t="s">
        <v>541</v>
      </c>
      <c r="F282" s="8" t="s">
        <v>16</v>
      </c>
      <c r="G282" s="8" t="s">
        <v>38</v>
      </c>
      <c r="H282" s="8"/>
      <c r="I282" s="8"/>
      <c r="J282" s="8" t="s">
        <v>19</v>
      </c>
      <c r="K282" s="8"/>
    </row>
    <row r="283" customFormat="false" ht="12.8" hidden="false" customHeight="false" outlineLevel="0" collapsed="false">
      <c r="A283" s="6" t="str">
        <f aca="false">HYPERLINK("https://www.fabsurplus.com/sdi_catalog/salesItemDetails.do?id=97903")</f>
        <v>https://www.fabsurplus.com/sdi_catalog/salesItemDetails.do?id=97903</v>
      </c>
      <c r="B283" s="6" t="s">
        <v>878</v>
      </c>
      <c r="C283" s="6" t="s">
        <v>876</v>
      </c>
      <c r="D283" s="6" t="s">
        <v>877</v>
      </c>
      <c r="E283" s="6" t="s">
        <v>719</v>
      </c>
      <c r="F283" s="6" t="s">
        <v>879</v>
      </c>
      <c r="G283" s="6" t="s">
        <v>880</v>
      </c>
      <c r="H283" s="6"/>
      <c r="I283" s="6"/>
      <c r="J283" s="6" t="s">
        <v>81</v>
      </c>
      <c r="K283" s="6"/>
    </row>
    <row r="284" customFormat="false" ht="12.8" hidden="false" customHeight="false" outlineLevel="0" collapsed="false">
      <c r="A284" s="8" t="str">
        <f aca="false">HYPERLINK("https://www.fabsurplus.com/sdi_catalog/salesItemDetails.do?id=100075")</f>
        <v>https://www.fabsurplus.com/sdi_catalog/salesItemDetails.do?id=100075</v>
      </c>
      <c r="B284" s="8" t="s">
        <v>881</v>
      </c>
      <c r="C284" s="8" t="s">
        <v>882</v>
      </c>
      <c r="D284" s="8" t="s">
        <v>883</v>
      </c>
      <c r="E284" s="8" t="s">
        <v>884</v>
      </c>
      <c r="F284" s="8" t="s">
        <v>16</v>
      </c>
      <c r="G284" s="8" t="s">
        <v>697</v>
      </c>
      <c r="H284" s="8"/>
      <c r="I284" s="8"/>
      <c r="J284" s="8" t="s">
        <v>19</v>
      </c>
      <c r="K284" s="8"/>
    </row>
    <row r="285" customFormat="false" ht="12.8" hidden="false" customHeight="false" outlineLevel="0" collapsed="false">
      <c r="A285" s="8" t="str">
        <f aca="false">HYPERLINK("https://www.fabsurplus.com/sdi_catalog/salesItemDetails.do?id=100365")</f>
        <v>https://www.fabsurplus.com/sdi_catalog/salesItemDetails.do?id=100365</v>
      </c>
      <c r="B285" s="8" t="s">
        <v>885</v>
      </c>
      <c r="C285" s="8" t="s">
        <v>97</v>
      </c>
      <c r="D285" s="8" t="s">
        <v>886</v>
      </c>
      <c r="E285" s="8" t="s">
        <v>887</v>
      </c>
      <c r="F285" s="8" t="s">
        <v>16</v>
      </c>
      <c r="G285" s="8" t="s">
        <v>263</v>
      </c>
      <c r="H285" s="8"/>
      <c r="I285" s="8"/>
      <c r="J285" s="8" t="s">
        <v>312</v>
      </c>
      <c r="K285" s="8"/>
    </row>
    <row r="286" customFormat="false" ht="12.8" hidden="false" customHeight="false" outlineLevel="0" collapsed="false">
      <c r="A286" s="6" t="str">
        <f aca="false">HYPERLINK("https://www.fabsurplus.com/sdi_catalog/salesItemDetails.do?id=100366")</f>
        <v>https://www.fabsurplus.com/sdi_catalog/salesItemDetails.do?id=100366</v>
      </c>
      <c r="B286" s="6" t="s">
        <v>888</v>
      </c>
      <c r="C286" s="6" t="s">
        <v>97</v>
      </c>
      <c r="D286" s="6" t="s">
        <v>889</v>
      </c>
      <c r="E286" s="6" t="s">
        <v>887</v>
      </c>
      <c r="F286" s="6" t="s">
        <v>16</v>
      </c>
      <c r="G286" s="6" t="s">
        <v>263</v>
      </c>
      <c r="H286" s="6"/>
      <c r="I286" s="6"/>
      <c r="J286" s="6" t="s">
        <v>312</v>
      </c>
      <c r="K286" s="6"/>
    </row>
    <row r="287" customFormat="false" ht="12.8" hidden="false" customHeight="false" outlineLevel="0" collapsed="false">
      <c r="A287" s="8" t="str">
        <f aca="false">HYPERLINK("https://www.fabsurplus.com/sdi_catalog/salesItemDetails.do?id=100367")</f>
        <v>https://www.fabsurplus.com/sdi_catalog/salesItemDetails.do?id=100367</v>
      </c>
      <c r="B287" s="8" t="s">
        <v>890</v>
      </c>
      <c r="C287" s="8" t="s">
        <v>97</v>
      </c>
      <c r="D287" s="8" t="s">
        <v>891</v>
      </c>
      <c r="E287" s="8" t="s">
        <v>887</v>
      </c>
      <c r="F287" s="8" t="s">
        <v>16</v>
      </c>
      <c r="G287" s="8" t="s">
        <v>263</v>
      </c>
      <c r="H287" s="8"/>
      <c r="I287" s="8"/>
      <c r="J287" s="8" t="s">
        <v>312</v>
      </c>
      <c r="K287" s="8"/>
    </row>
    <row r="288" customFormat="false" ht="12.8" hidden="false" customHeight="false" outlineLevel="0" collapsed="false">
      <c r="A288" s="6" t="str">
        <f aca="false">HYPERLINK("https://www.fabsurplus.com/sdi_catalog/salesItemDetails.do?id=100368")</f>
        <v>https://www.fabsurplus.com/sdi_catalog/salesItemDetails.do?id=100368</v>
      </c>
      <c r="B288" s="6" t="s">
        <v>892</v>
      </c>
      <c r="C288" s="6" t="s">
        <v>97</v>
      </c>
      <c r="D288" s="6" t="s">
        <v>893</v>
      </c>
      <c r="E288" s="6" t="s">
        <v>887</v>
      </c>
      <c r="F288" s="6" t="s">
        <v>16</v>
      </c>
      <c r="G288" s="6" t="s">
        <v>263</v>
      </c>
      <c r="H288" s="6"/>
      <c r="I288" s="6"/>
      <c r="J288" s="6" t="s">
        <v>312</v>
      </c>
      <c r="K288" s="6"/>
    </row>
    <row r="289" customFormat="false" ht="12.8" hidden="false" customHeight="false" outlineLevel="0" collapsed="false">
      <c r="A289" s="6" t="str">
        <f aca="false">HYPERLINK("https://www.fabsurplus.com/sdi_catalog/salesItemDetails.do?id=100369")</f>
        <v>https://www.fabsurplus.com/sdi_catalog/salesItemDetails.do?id=100369</v>
      </c>
      <c r="B289" s="6" t="s">
        <v>894</v>
      </c>
      <c r="C289" s="6" t="s">
        <v>97</v>
      </c>
      <c r="D289" s="6" t="s">
        <v>895</v>
      </c>
      <c r="E289" s="6" t="s">
        <v>887</v>
      </c>
      <c r="F289" s="6" t="s">
        <v>16</v>
      </c>
      <c r="G289" s="6" t="s">
        <v>263</v>
      </c>
      <c r="H289" s="6"/>
      <c r="I289" s="6"/>
      <c r="J289" s="6" t="s">
        <v>312</v>
      </c>
      <c r="K289" s="6"/>
    </row>
    <row r="290" customFormat="false" ht="12.8" hidden="false" customHeight="false" outlineLevel="0" collapsed="false">
      <c r="A290" s="8" t="str">
        <f aca="false">HYPERLINK("https://www.fabsurplus.com/sdi_catalog/salesItemDetails.do?id=100370")</f>
        <v>https://www.fabsurplus.com/sdi_catalog/salesItemDetails.do?id=100370</v>
      </c>
      <c r="B290" s="8" t="s">
        <v>896</v>
      </c>
      <c r="C290" s="8" t="s">
        <v>97</v>
      </c>
      <c r="D290" s="8" t="s">
        <v>897</v>
      </c>
      <c r="E290" s="8" t="s">
        <v>887</v>
      </c>
      <c r="F290" s="8" t="s">
        <v>16</v>
      </c>
      <c r="G290" s="8" t="s">
        <v>263</v>
      </c>
      <c r="H290" s="8"/>
      <c r="I290" s="8"/>
      <c r="J290" s="8" t="s">
        <v>312</v>
      </c>
      <c r="K290" s="8"/>
    </row>
    <row r="291" customFormat="false" ht="12.8" hidden="false" customHeight="false" outlineLevel="0" collapsed="false">
      <c r="A291" s="8" t="str">
        <f aca="false">HYPERLINK("https://www.fabsurplus.com/sdi_catalog/salesItemDetails.do?id=100516")</f>
        <v>https://www.fabsurplus.com/sdi_catalog/salesItemDetails.do?id=100516</v>
      </c>
      <c r="B291" s="8" t="s">
        <v>898</v>
      </c>
      <c r="C291" s="8" t="s">
        <v>97</v>
      </c>
      <c r="D291" s="8" t="s">
        <v>899</v>
      </c>
      <c r="E291" s="8" t="s">
        <v>900</v>
      </c>
      <c r="F291" s="8" t="s">
        <v>745</v>
      </c>
      <c r="G291" s="8" t="s">
        <v>263</v>
      </c>
      <c r="H291" s="8"/>
      <c r="I291" s="8"/>
      <c r="J291" s="8" t="s">
        <v>312</v>
      </c>
      <c r="K291" s="8"/>
    </row>
    <row r="292" customFormat="false" ht="12.8" hidden="false" customHeight="false" outlineLevel="0" collapsed="false">
      <c r="A292" s="6" t="str">
        <f aca="false">HYPERLINK("https://www.fabsurplus.com/sdi_catalog/salesItemDetails.do?id=100517")</f>
        <v>https://www.fabsurplus.com/sdi_catalog/salesItemDetails.do?id=100517</v>
      </c>
      <c r="B292" s="6" t="s">
        <v>901</v>
      </c>
      <c r="C292" s="6" t="s">
        <v>97</v>
      </c>
      <c r="D292" s="6" t="s">
        <v>902</v>
      </c>
      <c r="E292" s="6" t="s">
        <v>900</v>
      </c>
      <c r="F292" s="6" t="s">
        <v>673</v>
      </c>
      <c r="G292" s="6" t="s">
        <v>263</v>
      </c>
      <c r="H292" s="6"/>
      <c r="I292" s="6"/>
      <c r="J292" s="6" t="s">
        <v>312</v>
      </c>
      <c r="K292" s="6"/>
    </row>
    <row r="293" customFormat="false" ht="12.8" hidden="false" customHeight="false" outlineLevel="0" collapsed="false">
      <c r="A293" s="6" t="str">
        <f aca="false">HYPERLINK("https://www.fabsurplus.com/sdi_catalog/salesItemDetails.do?id=100371")</f>
        <v>https://www.fabsurplus.com/sdi_catalog/salesItemDetails.do?id=100371</v>
      </c>
      <c r="B293" s="6" t="s">
        <v>903</v>
      </c>
      <c r="C293" s="6" t="s">
        <v>97</v>
      </c>
      <c r="D293" s="6" t="s">
        <v>904</v>
      </c>
      <c r="E293" s="6" t="s">
        <v>887</v>
      </c>
      <c r="F293" s="6" t="s">
        <v>16</v>
      </c>
      <c r="G293" s="6" t="s">
        <v>263</v>
      </c>
      <c r="H293" s="6"/>
      <c r="I293" s="6"/>
      <c r="J293" s="6" t="s">
        <v>312</v>
      </c>
      <c r="K293" s="6"/>
    </row>
    <row r="294" customFormat="false" ht="12.8" hidden="false" customHeight="false" outlineLevel="0" collapsed="false">
      <c r="A294" s="8" t="str">
        <f aca="false">HYPERLINK("https://www.fabsurplus.com/sdi_catalog/salesItemDetails.do?id=100372")</f>
        <v>https://www.fabsurplus.com/sdi_catalog/salesItemDetails.do?id=100372</v>
      </c>
      <c r="B294" s="8" t="s">
        <v>905</v>
      </c>
      <c r="C294" s="8" t="s">
        <v>97</v>
      </c>
      <c r="D294" s="8" t="s">
        <v>906</v>
      </c>
      <c r="E294" s="8" t="s">
        <v>887</v>
      </c>
      <c r="F294" s="8" t="s">
        <v>16</v>
      </c>
      <c r="G294" s="8" t="s">
        <v>263</v>
      </c>
      <c r="H294" s="8"/>
      <c r="I294" s="8"/>
      <c r="J294" s="8" t="s">
        <v>312</v>
      </c>
      <c r="K294" s="8"/>
    </row>
    <row r="295" customFormat="false" ht="12.8" hidden="false" customHeight="false" outlineLevel="0" collapsed="false">
      <c r="A295" s="6" t="str">
        <f aca="false">HYPERLINK("https://www.fabsurplus.com/sdi_catalog/salesItemDetails.do?id=100373")</f>
        <v>https://www.fabsurplus.com/sdi_catalog/salesItemDetails.do?id=100373</v>
      </c>
      <c r="B295" s="6" t="s">
        <v>907</v>
      </c>
      <c r="C295" s="6" t="s">
        <v>97</v>
      </c>
      <c r="D295" s="6" t="s">
        <v>908</v>
      </c>
      <c r="E295" s="6" t="s">
        <v>887</v>
      </c>
      <c r="F295" s="6" t="s">
        <v>16</v>
      </c>
      <c r="G295" s="6" t="s">
        <v>263</v>
      </c>
      <c r="H295" s="6"/>
      <c r="I295" s="6"/>
      <c r="J295" s="6" t="s">
        <v>312</v>
      </c>
      <c r="K295" s="6"/>
    </row>
    <row r="296" customFormat="false" ht="12.8" hidden="false" customHeight="false" outlineLevel="0" collapsed="false">
      <c r="A296" s="6" t="str">
        <f aca="false">HYPERLINK("https://www.fabsurplus.com/sdi_catalog/salesItemDetails.do?id=100374")</f>
        <v>https://www.fabsurplus.com/sdi_catalog/salesItemDetails.do?id=100374</v>
      </c>
      <c r="B296" s="6" t="s">
        <v>909</v>
      </c>
      <c r="C296" s="6" t="s">
        <v>97</v>
      </c>
      <c r="D296" s="6" t="s">
        <v>910</v>
      </c>
      <c r="E296" s="6" t="s">
        <v>887</v>
      </c>
      <c r="F296" s="6" t="s">
        <v>16</v>
      </c>
      <c r="G296" s="6" t="s">
        <v>263</v>
      </c>
      <c r="H296" s="6"/>
      <c r="I296" s="6"/>
      <c r="J296" s="6" t="s">
        <v>312</v>
      </c>
      <c r="K296" s="6"/>
    </row>
    <row r="297" customFormat="false" ht="12.8" hidden="false" customHeight="false" outlineLevel="0" collapsed="false">
      <c r="A297" s="6" t="str">
        <f aca="false">HYPERLINK("https://www.fabsurplus.com/sdi_catalog/salesItemDetails.do?id=100518")</f>
        <v>https://www.fabsurplus.com/sdi_catalog/salesItemDetails.do?id=100518</v>
      </c>
      <c r="B297" s="6" t="s">
        <v>911</v>
      </c>
      <c r="C297" s="6" t="s">
        <v>97</v>
      </c>
      <c r="D297" s="6" t="s">
        <v>912</v>
      </c>
      <c r="E297" s="6" t="s">
        <v>900</v>
      </c>
      <c r="F297" s="6" t="s">
        <v>913</v>
      </c>
      <c r="G297" s="6" t="s">
        <v>263</v>
      </c>
      <c r="H297" s="6"/>
      <c r="I297" s="6"/>
      <c r="J297" s="6" t="s">
        <v>312</v>
      </c>
      <c r="K297" s="6"/>
    </row>
    <row r="298" customFormat="false" ht="12.8" hidden="false" customHeight="false" outlineLevel="0" collapsed="false">
      <c r="A298" s="8" t="str">
        <f aca="false">HYPERLINK("https://www.fabsurplus.com/sdi_catalog/salesItemDetails.do?id=100375")</f>
        <v>https://www.fabsurplus.com/sdi_catalog/salesItemDetails.do?id=100375</v>
      </c>
      <c r="B298" s="8" t="s">
        <v>914</v>
      </c>
      <c r="C298" s="8" t="s">
        <v>97</v>
      </c>
      <c r="D298" s="8" t="s">
        <v>915</v>
      </c>
      <c r="E298" s="8" t="s">
        <v>887</v>
      </c>
      <c r="F298" s="8" t="s">
        <v>16</v>
      </c>
      <c r="G298" s="8" t="s">
        <v>263</v>
      </c>
      <c r="H298" s="8"/>
      <c r="I298" s="8"/>
      <c r="J298" s="8" t="s">
        <v>312</v>
      </c>
      <c r="K298" s="8"/>
    </row>
    <row r="299" customFormat="false" ht="12.8" hidden="false" customHeight="false" outlineLevel="0" collapsed="false">
      <c r="A299" s="6" t="str">
        <f aca="false">HYPERLINK("https://www.fabsurplus.com/sdi_catalog/salesItemDetails.do?id=100376")</f>
        <v>https://www.fabsurplus.com/sdi_catalog/salesItemDetails.do?id=100376</v>
      </c>
      <c r="B299" s="6" t="s">
        <v>916</v>
      </c>
      <c r="C299" s="6" t="s">
        <v>97</v>
      </c>
      <c r="D299" s="6" t="s">
        <v>917</v>
      </c>
      <c r="E299" s="6" t="s">
        <v>887</v>
      </c>
      <c r="F299" s="6" t="s">
        <v>16</v>
      </c>
      <c r="G299" s="6" t="s">
        <v>263</v>
      </c>
      <c r="H299" s="6"/>
      <c r="I299" s="6"/>
      <c r="J299" s="6" t="s">
        <v>312</v>
      </c>
      <c r="K299" s="6"/>
    </row>
    <row r="300" customFormat="false" ht="12.8" hidden="false" customHeight="false" outlineLevel="0" collapsed="false">
      <c r="A300" s="6" t="str">
        <f aca="false">HYPERLINK("https://www.fabsurplus.com/sdi_catalog/salesItemDetails.do?id=100377")</f>
        <v>https://www.fabsurplus.com/sdi_catalog/salesItemDetails.do?id=100377</v>
      </c>
      <c r="B300" s="6" t="s">
        <v>918</v>
      </c>
      <c r="C300" s="6" t="s">
        <v>97</v>
      </c>
      <c r="D300" s="6" t="s">
        <v>919</v>
      </c>
      <c r="E300" s="6" t="s">
        <v>887</v>
      </c>
      <c r="F300" s="6" t="s">
        <v>16</v>
      </c>
      <c r="G300" s="6" t="s">
        <v>263</v>
      </c>
      <c r="H300" s="6"/>
      <c r="I300" s="6"/>
      <c r="J300" s="6" t="s">
        <v>312</v>
      </c>
      <c r="K300" s="6"/>
    </row>
    <row r="301" customFormat="false" ht="12.8" hidden="false" customHeight="false" outlineLevel="0" collapsed="false">
      <c r="A301" s="6" t="str">
        <f aca="false">HYPERLINK("https://www.fabsurplus.com/sdi_catalog/salesItemDetails.do?id=100378")</f>
        <v>https://www.fabsurplus.com/sdi_catalog/salesItemDetails.do?id=100378</v>
      </c>
      <c r="B301" s="6" t="s">
        <v>920</v>
      </c>
      <c r="C301" s="6" t="s">
        <v>97</v>
      </c>
      <c r="D301" s="6" t="s">
        <v>921</v>
      </c>
      <c r="E301" s="6" t="s">
        <v>887</v>
      </c>
      <c r="F301" s="6" t="s">
        <v>16</v>
      </c>
      <c r="G301" s="6" t="s">
        <v>263</v>
      </c>
      <c r="H301" s="6"/>
      <c r="I301" s="6"/>
      <c r="J301" s="6" t="s">
        <v>312</v>
      </c>
      <c r="K301" s="6"/>
    </row>
    <row r="302" customFormat="false" ht="12.8" hidden="false" customHeight="false" outlineLevel="0" collapsed="false">
      <c r="A302" s="8" t="str">
        <f aca="false">HYPERLINK("https://www.fabsurplus.com/sdi_catalog/salesItemDetails.do?id=100379")</f>
        <v>https://www.fabsurplus.com/sdi_catalog/salesItemDetails.do?id=100379</v>
      </c>
      <c r="B302" s="8" t="s">
        <v>922</v>
      </c>
      <c r="C302" s="8" t="s">
        <v>97</v>
      </c>
      <c r="D302" s="8" t="s">
        <v>923</v>
      </c>
      <c r="E302" s="8" t="s">
        <v>887</v>
      </c>
      <c r="F302" s="8" t="s">
        <v>16</v>
      </c>
      <c r="G302" s="8" t="s">
        <v>263</v>
      </c>
      <c r="H302" s="8"/>
      <c r="I302" s="8"/>
      <c r="J302" s="8" t="s">
        <v>312</v>
      </c>
      <c r="K302" s="8"/>
    </row>
    <row r="303" customFormat="false" ht="12.8" hidden="false" customHeight="false" outlineLevel="0" collapsed="false">
      <c r="A303" s="6" t="str">
        <f aca="false">HYPERLINK("https://www.fabsurplus.com/sdi_catalog/salesItemDetails.do?id=100380")</f>
        <v>https://www.fabsurplus.com/sdi_catalog/salesItemDetails.do?id=100380</v>
      </c>
      <c r="B303" s="6" t="s">
        <v>924</v>
      </c>
      <c r="C303" s="6" t="s">
        <v>97</v>
      </c>
      <c r="D303" s="6" t="s">
        <v>925</v>
      </c>
      <c r="E303" s="6" t="s">
        <v>887</v>
      </c>
      <c r="F303" s="6" t="s">
        <v>16</v>
      </c>
      <c r="G303" s="6" t="s">
        <v>263</v>
      </c>
      <c r="H303" s="6"/>
      <c r="I303" s="6"/>
      <c r="J303" s="6" t="s">
        <v>312</v>
      </c>
      <c r="K303" s="6"/>
    </row>
    <row r="304" customFormat="false" ht="12.8" hidden="false" customHeight="false" outlineLevel="0" collapsed="false">
      <c r="A304" s="8" t="str">
        <f aca="false">HYPERLINK("https://www.fabsurplus.com/sdi_catalog/salesItemDetails.do?id=100519")</f>
        <v>https://www.fabsurplus.com/sdi_catalog/salesItemDetails.do?id=100519</v>
      </c>
      <c r="B304" s="8" t="s">
        <v>926</v>
      </c>
      <c r="C304" s="8" t="s">
        <v>97</v>
      </c>
      <c r="D304" s="8" t="s">
        <v>927</v>
      </c>
      <c r="E304" s="8" t="s">
        <v>900</v>
      </c>
      <c r="F304" s="8" t="s">
        <v>626</v>
      </c>
      <c r="G304" s="8" t="s">
        <v>263</v>
      </c>
      <c r="H304" s="8"/>
      <c r="I304" s="8"/>
      <c r="J304" s="8" t="s">
        <v>312</v>
      </c>
      <c r="K304" s="8"/>
    </row>
    <row r="305" customFormat="false" ht="12.8" hidden="false" customHeight="false" outlineLevel="0" collapsed="false">
      <c r="A305" s="6" t="str">
        <f aca="false">HYPERLINK("https://www.fabsurplus.com/sdi_catalog/salesItemDetails.do?id=100520")</f>
        <v>https://www.fabsurplus.com/sdi_catalog/salesItemDetails.do?id=100520</v>
      </c>
      <c r="B305" s="6" t="s">
        <v>928</v>
      </c>
      <c r="C305" s="6" t="s">
        <v>97</v>
      </c>
      <c r="D305" s="6" t="s">
        <v>929</v>
      </c>
      <c r="E305" s="6" t="s">
        <v>900</v>
      </c>
      <c r="F305" s="6" t="s">
        <v>211</v>
      </c>
      <c r="G305" s="6" t="s">
        <v>263</v>
      </c>
      <c r="H305" s="6"/>
      <c r="I305" s="6"/>
      <c r="J305" s="6" t="s">
        <v>312</v>
      </c>
      <c r="K305" s="6"/>
    </row>
    <row r="306" customFormat="false" ht="12.8" hidden="false" customHeight="false" outlineLevel="0" collapsed="false">
      <c r="A306" s="8" t="str">
        <f aca="false">HYPERLINK("https://www.fabsurplus.com/sdi_catalog/salesItemDetails.do?id=100521")</f>
        <v>https://www.fabsurplus.com/sdi_catalog/salesItemDetails.do?id=100521</v>
      </c>
      <c r="B306" s="8" t="s">
        <v>930</v>
      </c>
      <c r="C306" s="8" t="s">
        <v>97</v>
      </c>
      <c r="D306" s="8" t="s">
        <v>931</v>
      </c>
      <c r="E306" s="8" t="s">
        <v>900</v>
      </c>
      <c r="F306" s="8" t="s">
        <v>245</v>
      </c>
      <c r="G306" s="8" t="s">
        <v>263</v>
      </c>
      <c r="H306" s="8"/>
      <c r="I306" s="8"/>
      <c r="J306" s="8" t="s">
        <v>312</v>
      </c>
      <c r="K306" s="8"/>
    </row>
    <row r="307" customFormat="false" ht="12.8" hidden="false" customHeight="false" outlineLevel="0" collapsed="false">
      <c r="A307" s="6" t="str">
        <f aca="false">HYPERLINK("https://www.fabsurplus.com/sdi_catalog/salesItemDetails.do?id=100522")</f>
        <v>https://www.fabsurplus.com/sdi_catalog/salesItemDetails.do?id=100522</v>
      </c>
      <c r="B307" s="6" t="s">
        <v>932</v>
      </c>
      <c r="C307" s="6" t="s">
        <v>97</v>
      </c>
      <c r="D307" s="6" t="s">
        <v>933</v>
      </c>
      <c r="E307" s="6" t="s">
        <v>900</v>
      </c>
      <c r="F307" s="6" t="s">
        <v>742</v>
      </c>
      <c r="G307" s="6" t="s">
        <v>263</v>
      </c>
      <c r="H307" s="6"/>
      <c r="I307" s="6"/>
      <c r="J307" s="6" t="s">
        <v>312</v>
      </c>
      <c r="K307" s="6"/>
    </row>
    <row r="308" customFormat="false" ht="12.8" hidden="false" customHeight="false" outlineLevel="0" collapsed="false">
      <c r="A308" s="6" t="str">
        <f aca="false">HYPERLINK("https://www.fabsurplus.com/sdi_catalog/salesItemDetails.do?id=100405")</f>
        <v>https://www.fabsurplus.com/sdi_catalog/salesItemDetails.do?id=100405</v>
      </c>
      <c r="B308" s="6" t="s">
        <v>934</v>
      </c>
      <c r="C308" s="6" t="s">
        <v>97</v>
      </c>
      <c r="D308" s="6" t="s">
        <v>935</v>
      </c>
      <c r="E308" s="6" t="s">
        <v>936</v>
      </c>
      <c r="F308" s="6" t="s">
        <v>16</v>
      </c>
      <c r="G308" s="6" t="s">
        <v>263</v>
      </c>
      <c r="H308" s="6"/>
      <c r="I308" s="6"/>
      <c r="J308" s="6" t="s">
        <v>312</v>
      </c>
      <c r="K308" s="6"/>
    </row>
    <row r="309" customFormat="false" ht="12.8" hidden="false" customHeight="false" outlineLevel="0" collapsed="false">
      <c r="A309" s="6" t="str">
        <f aca="false">HYPERLINK("https://www.fabsurplus.com/sdi_catalog/salesItemDetails.do?id=100406")</f>
        <v>https://www.fabsurplus.com/sdi_catalog/salesItemDetails.do?id=100406</v>
      </c>
      <c r="B309" s="6" t="s">
        <v>937</v>
      </c>
      <c r="C309" s="6" t="s">
        <v>97</v>
      </c>
      <c r="D309" s="6" t="s">
        <v>938</v>
      </c>
      <c r="E309" s="6" t="s">
        <v>936</v>
      </c>
      <c r="F309" s="6" t="s">
        <v>16</v>
      </c>
      <c r="G309" s="6" t="s">
        <v>263</v>
      </c>
      <c r="H309" s="6"/>
      <c r="I309" s="6"/>
      <c r="J309" s="6" t="s">
        <v>312</v>
      </c>
      <c r="K309" s="6"/>
    </row>
    <row r="310" customFormat="false" ht="12.8" hidden="false" customHeight="false" outlineLevel="0" collapsed="false">
      <c r="A310" s="8" t="str">
        <f aca="false">HYPERLINK("https://www.fabsurplus.com/sdi_catalog/salesItemDetails.do?id=100523")</f>
        <v>https://www.fabsurplus.com/sdi_catalog/salesItemDetails.do?id=100523</v>
      </c>
      <c r="B310" s="8" t="s">
        <v>939</v>
      </c>
      <c r="C310" s="8" t="s">
        <v>97</v>
      </c>
      <c r="D310" s="8" t="s">
        <v>940</v>
      </c>
      <c r="E310" s="8" t="s">
        <v>900</v>
      </c>
      <c r="F310" s="8" t="s">
        <v>745</v>
      </c>
      <c r="G310" s="8" t="s">
        <v>263</v>
      </c>
      <c r="H310" s="8"/>
      <c r="I310" s="8"/>
      <c r="J310" s="8" t="s">
        <v>312</v>
      </c>
      <c r="K310" s="8"/>
    </row>
    <row r="311" customFormat="false" ht="12.8" hidden="false" customHeight="false" outlineLevel="0" collapsed="false">
      <c r="A311" s="6" t="str">
        <f aca="false">HYPERLINK("https://www.fabsurplus.com/sdi_catalog/salesItemDetails.do?id=100381")</f>
        <v>https://www.fabsurplus.com/sdi_catalog/salesItemDetails.do?id=100381</v>
      </c>
      <c r="B311" s="6" t="s">
        <v>941</v>
      </c>
      <c r="C311" s="6" t="s">
        <v>97</v>
      </c>
      <c r="D311" s="6" t="s">
        <v>942</v>
      </c>
      <c r="E311" s="6" t="s">
        <v>887</v>
      </c>
      <c r="F311" s="6" t="s">
        <v>16</v>
      </c>
      <c r="G311" s="6" t="s">
        <v>263</v>
      </c>
      <c r="H311" s="6"/>
      <c r="I311" s="6"/>
      <c r="J311" s="6" t="s">
        <v>312</v>
      </c>
      <c r="K311" s="6"/>
    </row>
    <row r="312" customFormat="false" ht="12.8" hidden="false" customHeight="false" outlineLevel="0" collapsed="false">
      <c r="A312" s="6" t="str">
        <f aca="false">HYPERLINK("https://www.fabsurplus.com/sdi_catalog/salesItemDetails.do?id=100382")</f>
        <v>https://www.fabsurplus.com/sdi_catalog/salesItemDetails.do?id=100382</v>
      </c>
      <c r="B312" s="6" t="s">
        <v>943</v>
      </c>
      <c r="C312" s="6" t="s">
        <v>97</v>
      </c>
      <c r="D312" s="6" t="s">
        <v>944</v>
      </c>
      <c r="E312" s="6" t="s">
        <v>887</v>
      </c>
      <c r="F312" s="6" t="s">
        <v>16</v>
      </c>
      <c r="G312" s="6" t="s">
        <v>263</v>
      </c>
      <c r="H312" s="6"/>
      <c r="I312" s="6"/>
      <c r="J312" s="6" t="s">
        <v>312</v>
      </c>
      <c r="K312" s="6"/>
    </row>
    <row r="313" customFormat="false" ht="12.8" hidden="false" customHeight="false" outlineLevel="0" collapsed="false">
      <c r="A313" s="8" t="str">
        <f aca="false">HYPERLINK("https://www.fabsurplus.com/sdi_catalog/salesItemDetails.do?id=100383")</f>
        <v>https://www.fabsurplus.com/sdi_catalog/salesItemDetails.do?id=100383</v>
      </c>
      <c r="B313" s="8" t="s">
        <v>945</v>
      </c>
      <c r="C313" s="8" t="s">
        <v>97</v>
      </c>
      <c r="D313" s="8" t="s">
        <v>946</v>
      </c>
      <c r="E313" s="8" t="s">
        <v>887</v>
      </c>
      <c r="F313" s="8" t="s">
        <v>16</v>
      </c>
      <c r="G313" s="8" t="s">
        <v>263</v>
      </c>
      <c r="H313" s="8"/>
      <c r="I313" s="8"/>
      <c r="J313" s="8" t="s">
        <v>312</v>
      </c>
      <c r="K313" s="8"/>
    </row>
    <row r="314" customFormat="false" ht="12.8" hidden="false" customHeight="false" outlineLevel="0" collapsed="false">
      <c r="A314" s="6" t="str">
        <f aca="false">HYPERLINK("https://www.fabsurplus.com/sdi_catalog/salesItemDetails.do?id=100384")</f>
        <v>https://www.fabsurplus.com/sdi_catalog/salesItemDetails.do?id=100384</v>
      </c>
      <c r="B314" s="6" t="s">
        <v>947</v>
      </c>
      <c r="C314" s="6" t="s">
        <v>97</v>
      </c>
      <c r="D314" s="6" t="s">
        <v>948</v>
      </c>
      <c r="E314" s="6" t="s">
        <v>887</v>
      </c>
      <c r="F314" s="6" t="s">
        <v>16</v>
      </c>
      <c r="G314" s="6" t="s">
        <v>263</v>
      </c>
      <c r="H314" s="6"/>
      <c r="I314" s="6"/>
      <c r="J314" s="6" t="s">
        <v>312</v>
      </c>
      <c r="K314" s="6"/>
    </row>
    <row r="315" customFormat="false" ht="12.8" hidden="false" customHeight="false" outlineLevel="0" collapsed="false">
      <c r="A315" s="6" t="str">
        <f aca="false">HYPERLINK("https://www.fabsurplus.com/sdi_catalog/salesItemDetails.do?id=100524")</f>
        <v>https://www.fabsurplus.com/sdi_catalog/salesItemDetails.do?id=100524</v>
      </c>
      <c r="B315" s="6" t="s">
        <v>949</v>
      </c>
      <c r="C315" s="6" t="s">
        <v>97</v>
      </c>
      <c r="D315" s="6" t="s">
        <v>950</v>
      </c>
      <c r="E315" s="6" t="s">
        <v>900</v>
      </c>
      <c r="F315" s="6" t="s">
        <v>626</v>
      </c>
      <c r="G315" s="6" t="s">
        <v>263</v>
      </c>
      <c r="H315" s="6"/>
      <c r="I315" s="6"/>
      <c r="J315" s="6" t="s">
        <v>312</v>
      </c>
      <c r="K315" s="6"/>
    </row>
    <row r="316" customFormat="false" ht="12.8" hidden="false" customHeight="false" outlineLevel="0" collapsed="false">
      <c r="A316" s="8" t="str">
        <f aca="false">HYPERLINK("https://www.fabsurplus.com/sdi_catalog/salesItemDetails.do?id=100525")</f>
        <v>https://www.fabsurplus.com/sdi_catalog/salesItemDetails.do?id=100525</v>
      </c>
      <c r="B316" s="8" t="s">
        <v>951</v>
      </c>
      <c r="C316" s="8" t="s">
        <v>97</v>
      </c>
      <c r="D316" s="8" t="s">
        <v>952</v>
      </c>
      <c r="E316" s="8" t="s">
        <v>900</v>
      </c>
      <c r="F316" s="8" t="s">
        <v>745</v>
      </c>
      <c r="G316" s="8" t="s">
        <v>263</v>
      </c>
      <c r="H316" s="8"/>
      <c r="I316" s="8"/>
      <c r="J316" s="8" t="s">
        <v>312</v>
      </c>
      <c r="K316" s="8"/>
    </row>
    <row r="317" customFormat="false" ht="12.8" hidden="false" customHeight="false" outlineLevel="0" collapsed="false">
      <c r="A317" s="8" t="str">
        <f aca="false">HYPERLINK("https://www.fabsurplus.com/sdi_catalog/salesItemDetails.do?id=100455")</f>
        <v>https://www.fabsurplus.com/sdi_catalog/salesItemDetails.do?id=100455</v>
      </c>
      <c r="B317" s="8" t="s">
        <v>953</v>
      </c>
      <c r="C317" s="8" t="s">
        <v>97</v>
      </c>
      <c r="D317" s="8" t="s">
        <v>954</v>
      </c>
      <c r="E317" s="8" t="s">
        <v>955</v>
      </c>
      <c r="F317" s="8" t="s">
        <v>16</v>
      </c>
      <c r="G317" s="8" t="s">
        <v>263</v>
      </c>
      <c r="H317" s="8"/>
      <c r="I317" s="8"/>
      <c r="J317" s="8" t="s">
        <v>312</v>
      </c>
      <c r="K317" s="8"/>
    </row>
    <row r="318" customFormat="false" ht="12.8" hidden="false" customHeight="false" outlineLevel="0" collapsed="false">
      <c r="A318" s="6" t="str">
        <f aca="false">HYPERLINK("https://www.fabsurplus.com/sdi_catalog/salesItemDetails.do?id=100526")</f>
        <v>https://www.fabsurplus.com/sdi_catalog/salesItemDetails.do?id=100526</v>
      </c>
      <c r="B318" s="6" t="s">
        <v>956</v>
      </c>
      <c r="C318" s="6" t="s">
        <v>97</v>
      </c>
      <c r="D318" s="6" t="s">
        <v>957</v>
      </c>
      <c r="E318" s="6" t="s">
        <v>900</v>
      </c>
      <c r="F318" s="6" t="s">
        <v>245</v>
      </c>
      <c r="G318" s="6" t="s">
        <v>263</v>
      </c>
      <c r="H318" s="6"/>
      <c r="I318" s="6"/>
      <c r="J318" s="6" t="s">
        <v>312</v>
      </c>
      <c r="K318" s="6"/>
    </row>
    <row r="319" customFormat="false" ht="12.8" hidden="false" customHeight="false" outlineLevel="0" collapsed="false">
      <c r="A319" s="8" t="str">
        <f aca="false">HYPERLINK("https://www.fabsurplus.com/sdi_catalog/salesItemDetails.do?id=100527")</f>
        <v>https://www.fabsurplus.com/sdi_catalog/salesItemDetails.do?id=100527</v>
      </c>
      <c r="B319" s="8" t="s">
        <v>958</v>
      </c>
      <c r="C319" s="8" t="s">
        <v>97</v>
      </c>
      <c r="D319" s="8" t="s">
        <v>959</v>
      </c>
      <c r="E319" s="8" t="s">
        <v>900</v>
      </c>
      <c r="F319" s="8" t="s">
        <v>245</v>
      </c>
      <c r="G319" s="8" t="s">
        <v>263</v>
      </c>
      <c r="H319" s="8"/>
      <c r="I319" s="8"/>
      <c r="J319" s="8" t="s">
        <v>312</v>
      </c>
      <c r="K319" s="8"/>
    </row>
    <row r="320" customFormat="false" ht="12.8" hidden="false" customHeight="false" outlineLevel="0" collapsed="false">
      <c r="A320" s="8" t="str">
        <f aca="false">HYPERLINK("https://www.fabsurplus.com/sdi_catalog/salesItemDetails.do?id=100407")</f>
        <v>https://www.fabsurplus.com/sdi_catalog/salesItemDetails.do?id=100407</v>
      </c>
      <c r="B320" s="8" t="s">
        <v>960</v>
      </c>
      <c r="C320" s="8" t="s">
        <v>97</v>
      </c>
      <c r="D320" s="8" t="s">
        <v>961</v>
      </c>
      <c r="E320" s="8" t="s">
        <v>936</v>
      </c>
      <c r="F320" s="8" t="s">
        <v>962</v>
      </c>
      <c r="G320" s="8" t="s">
        <v>263</v>
      </c>
      <c r="H320" s="8"/>
      <c r="I320" s="8"/>
      <c r="J320" s="8" t="s">
        <v>312</v>
      </c>
      <c r="K320" s="8"/>
    </row>
    <row r="321" customFormat="false" ht="12.8" hidden="false" customHeight="false" outlineLevel="0" collapsed="false">
      <c r="A321" s="6" t="str">
        <f aca="false">HYPERLINK("https://www.fabsurplus.com/sdi_catalog/salesItemDetails.do?id=100528")</f>
        <v>https://www.fabsurplus.com/sdi_catalog/salesItemDetails.do?id=100528</v>
      </c>
      <c r="B321" s="6" t="s">
        <v>963</v>
      </c>
      <c r="C321" s="6" t="s">
        <v>97</v>
      </c>
      <c r="D321" s="6" t="s">
        <v>964</v>
      </c>
      <c r="E321" s="6" t="s">
        <v>900</v>
      </c>
      <c r="F321" s="6" t="s">
        <v>913</v>
      </c>
      <c r="G321" s="6" t="s">
        <v>263</v>
      </c>
      <c r="H321" s="6"/>
      <c r="I321" s="6"/>
      <c r="J321" s="6" t="s">
        <v>312</v>
      </c>
      <c r="K321" s="6"/>
    </row>
    <row r="322" customFormat="false" ht="12.8" hidden="false" customHeight="false" outlineLevel="0" collapsed="false">
      <c r="A322" s="6" t="str">
        <f aca="false">HYPERLINK("https://www.fabsurplus.com/sdi_catalog/salesItemDetails.do?id=100408")</f>
        <v>https://www.fabsurplus.com/sdi_catalog/salesItemDetails.do?id=100408</v>
      </c>
      <c r="B322" s="6" t="s">
        <v>965</v>
      </c>
      <c r="C322" s="6" t="s">
        <v>97</v>
      </c>
      <c r="D322" s="6" t="s">
        <v>966</v>
      </c>
      <c r="E322" s="6" t="s">
        <v>936</v>
      </c>
      <c r="F322" s="6" t="s">
        <v>967</v>
      </c>
      <c r="G322" s="6" t="s">
        <v>263</v>
      </c>
      <c r="H322" s="6"/>
      <c r="I322" s="6"/>
      <c r="J322" s="6" t="s">
        <v>312</v>
      </c>
      <c r="K322" s="6"/>
    </row>
    <row r="323" customFormat="false" ht="12.8" hidden="false" customHeight="false" outlineLevel="0" collapsed="false">
      <c r="A323" s="8" t="str">
        <f aca="false">HYPERLINK("https://www.fabsurplus.com/sdi_catalog/salesItemDetails.do?id=100385")</f>
        <v>https://www.fabsurplus.com/sdi_catalog/salesItemDetails.do?id=100385</v>
      </c>
      <c r="B323" s="8" t="s">
        <v>968</v>
      </c>
      <c r="C323" s="8" t="s">
        <v>97</v>
      </c>
      <c r="D323" s="8" t="s">
        <v>969</v>
      </c>
      <c r="E323" s="8" t="s">
        <v>887</v>
      </c>
      <c r="F323" s="8" t="s">
        <v>16</v>
      </c>
      <c r="G323" s="8" t="s">
        <v>263</v>
      </c>
      <c r="H323" s="8"/>
      <c r="I323" s="8"/>
      <c r="J323" s="8" t="s">
        <v>312</v>
      </c>
      <c r="K323" s="8"/>
    </row>
    <row r="324" customFormat="false" ht="12.8" hidden="false" customHeight="false" outlineLevel="0" collapsed="false">
      <c r="A324" s="6" t="str">
        <f aca="false">HYPERLINK("https://www.fabsurplus.com/sdi_catalog/salesItemDetails.do?id=100456")</f>
        <v>https://www.fabsurplus.com/sdi_catalog/salesItemDetails.do?id=100456</v>
      </c>
      <c r="B324" s="6" t="s">
        <v>970</v>
      </c>
      <c r="C324" s="6" t="s">
        <v>97</v>
      </c>
      <c r="D324" s="6" t="s">
        <v>971</v>
      </c>
      <c r="E324" s="6" t="s">
        <v>955</v>
      </c>
      <c r="F324" s="6" t="s">
        <v>742</v>
      </c>
      <c r="G324" s="6" t="s">
        <v>263</v>
      </c>
      <c r="H324" s="6"/>
      <c r="I324" s="6"/>
      <c r="J324" s="6" t="s">
        <v>312</v>
      </c>
      <c r="K324" s="6"/>
    </row>
    <row r="325" customFormat="false" ht="12.8" hidden="false" customHeight="false" outlineLevel="0" collapsed="false">
      <c r="A325" s="6" t="str">
        <f aca="false">HYPERLINK("https://www.fabsurplus.com/sdi_catalog/salesItemDetails.do?id=100457")</f>
        <v>https://www.fabsurplus.com/sdi_catalog/salesItemDetails.do?id=100457</v>
      </c>
      <c r="B325" s="6" t="s">
        <v>972</v>
      </c>
      <c r="C325" s="6" t="s">
        <v>97</v>
      </c>
      <c r="D325" s="6" t="s">
        <v>973</v>
      </c>
      <c r="E325" s="6" t="s">
        <v>955</v>
      </c>
      <c r="F325" s="6" t="s">
        <v>611</v>
      </c>
      <c r="G325" s="6" t="s">
        <v>263</v>
      </c>
      <c r="H325" s="6"/>
      <c r="I325" s="6"/>
      <c r="J325" s="6" t="s">
        <v>312</v>
      </c>
      <c r="K325" s="6"/>
    </row>
    <row r="326" customFormat="false" ht="12.8" hidden="false" customHeight="false" outlineLevel="0" collapsed="false">
      <c r="A326" s="6" t="str">
        <f aca="false">HYPERLINK("https://www.fabsurplus.com/sdi_catalog/salesItemDetails.do?id=100386")</f>
        <v>https://www.fabsurplus.com/sdi_catalog/salesItemDetails.do?id=100386</v>
      </c>
      <c r="B326" s="6" t="s">
        <v>974</v>
      </c>
      <c r="C326" s="6" t="s">
        <v>97</v>
      </c>
      <c r="D326" s="6" t="s">
        <v>975</v>
      </c>
      <c r="E326" s="6" t="s">
        <v>887</v>
      </c>
      <c r="F326" s="6" t="s">
        <v>16</v>
      </c>
      <c r="G326" s="6" t="s">
        <v>263</v>
      </c>
      <c r="H326" s="6"/>
      <c r="I326" s="6"/>
      <c r="J326" s="6" t="s">
        <v>312</v>
      </c>
      <c r="K326" s="6"/>
    </row>
    <row r="327" customFormat="false" ht="12.8" hidden="false" customHeight="false" outlineLevel="0" collapsed="false">
      <c r="A327" s="6" t="str">
        <f aca="false">HYPERLINK("https://www.fabsurplus.com/sdi_catalog/salesItemDetails.do?id=100529")</f>
        <v>https://www.fabsurplus.com/sdi_catalog/salesItemDetails.do?id=100529</v>
      </c>
      <c r="B327" s="6" t="s">
        <v>976</v>
      </c>
      <c r="C327" s="6" t="s">
        <v>97</v>
      </c>
      <c r="D327" s="6" t="s">
        <v>977</v>
      </c>
      <c r="E327" s="6" t="s">
        <v>900</v>
      </c>
      <c r="F327" s="6" t="s">
        <v>742</v>
      </c>
      <c r="G327" s="6" t="s">
        <v>263</v>
      </c>
      <c r="H327" s="6"/>
      <c r="I327" s="6"/>
      <c r="J327" s="6" t="s">
        <v>312</v>
      </c>
      <c r="K327" s="6"/>
    </row>
    <row r="328" customFormat="false" ht="12.8" hidden="false" customHeight="false" outlineLevel="0" collapsed="false">
      <c r="A328" s="6" t="str">
        <f aca="false">HYPERLINK("https://www.fabsurplus.com/sdi_catalog/salesItemDetails.do?id=100530")</f>
        <v>https://www.fabsurplus.com/sdi_catalog/salesItemDetails.do?id=100530</v>
      </c>
      <c r="B328" s="6" t="s">
        <v>978</v>
      </c>
      <c r="C328" s="6" t="s">
        <v>97</v>
      </c>
      <c r="D328" s="6" t="s">
        <v>979</v>
      </c>
      <c r="E328" s="6" t="s">
        <v>900</v>
      </c>
      <c r="F328" s="6" t="s">
        <v>673</v>
      </c>
      <c r="G328" s="6" t="s">
        <v>263</v>
      </c>
      <c r="H328" s="6"/>
      <c r="I328" s="6"/>
      <c r="J328" s="6" t="s">
        <v>312</v>
      </c>
      <c r="K328" s="6"/>
    </row>
    <row r="329" customFormat="false" ht="12.8" hidden="false" customHeight="false" outlineLevel="0" collapsed="false">
      <c r="A329" s="6" t="str">
        <f aca="false">HYPERLINK("https://www.fabsurplus.com/sdi_catalog/salesItemDetails.do?id=100409")</f>
        <v>https://www.fabsurplus.com/sdi_catalog/salesItemDetails.do?id=100409</v>
      </c>
      <c r="B329" s="6" t="s">
        <v>980</v>
      </c>
      <c r="C329" s="6" t="s">
        <v>97</v>
      </c>
      <c r="D329" s="6" t="s">
        <v>981</v>
      </c>
      <c r="E329" s="6" t="s">
        <v>936</v>
      </c>
      <c r="F329" s="6" t="s">
        <v>16</v>
      </c>
      <c r="G329" s="6" t="s">
        <v>263</v>
      </c>
      <c r="H329" s="6"/>
      <c r="I329" s="6"/>
      <c r="J329" s="6" t="s">
        <v>312</v>
      </c>
      <c r="K329" s="6"/>
    </row>
    <row r="330" customFormat="false" ht="12.8" hidden="false" customHeight="false" outlineLevel="0" collapsed="false">
      <c r="A330" s="6" t="str">
        <f aca="false">HYPERLINK("https://www.fabsurplus.com/sdi_catalog/salesItemDetails.do?id=100458")</f>
        <v>https://www.fabsurplus.com/sdi_catalog/salesItemDetails.do?id=100458</v>
      </c>
      <c r="B330" s="6" t="s">
        <v>982</v>
      </c>
      <c r="C330" s="6" t="s">
        <v>97</v>
      </c>
      <c r="D330" s="6" t="s">
        <v>983</v>
      </c>
      <c r="E330" s="6" t="s">
        <v>955</v>
      </c>
      <c r="F330" s="6" t="s">
        <v>913</v>
      </c>
      <c r="G330" s="6" t="s">
        <v>263</v>
      </c>
      <c r="H330" s="6"/>
      <c r="I330" s="6"/>
      <c r="J330" s="6" t="s">
        <v>312</v>
      </c>
      <c r="K330" s="6"/>
    </row>
    <row r="331" customFormat="false" ht="12.8" hidden="false" customHeight="false" outlineLevel="0" collapsed="false">
      <c r="A331" s="8" t="str">
        <f aca="false">HYPERLINK("https://www.fabsurplus.com/sdi_catalog/salesItemDetails.do?id=100459")</f>
        <v>https://www.fabsurplus.com/sdi_catalog/salesItemDetails.do?id=100459</v>
      </c>
      <c r="B331" s="8" t="s">
        <v>984</v>
      </c>
      <c r="C331" s="8" t="s">
        <v>97</v>
      </c>
      <c r="D331" s="8" t="s">
        <v>985</v>
      </c>
      <c r="E331" s="8" t="s">
        <v>955</v>
      </c>
      <c r="F331" s="8" t="s">
        <v>745</v>
      </c>
      <c r="G331" s="8" t="s">
        <v>263</v>
      </c>
      <c r="H331" s="8"/>
      <c r="I331" s="8"/>
      <c r="J331" s="8" t="s">
        <v>312</v>
      </c>
      <c r="K331" s="8"/>
    </row>
    <row r="332" customFormat="false" ht="12.8" hidden="false" customHeight="false" outlineLevel="0" collapsed="false">
      <c r="A332" s="6" t="str">
        <f aca="false">HYPERLINK("https://www.fabsurplus.com/sdi_catalog/salesItemDetails.do?id=100531")</f>
        <v>https://www.fabsurplus.com/sdi_catalog/salesItemDetails.do?id=100531</v>
      </c>
      <c r="B332" s="6" t="s">
        <v>986</v>
      </c>
      <c r="C332" s="6" t="s">
        <v>97</v>
      </c>
      <c r="D332" s="6" t="s">
        <v>987</v>
      </c>
      <c r="E332" s="6" t="s">
        <v>900</v>
      </c>
      <c r="F332" s="6" t="s">
        <v>745</v>
      </c>
      <c r="G332" s="6" t="s">
        <v>263</v>
      </c>
      <c r="H332" s="6"/>
      <c r="I332" s="6"/>
      <c r="J332" s="6" t="s">
        <v>312</v>
      </c>
      <c r="K332" s="6"/>
    </row>
    <row r="333" customFormat="false" ht="12.8" hidden="false" customHeight="false" outlineLevel="0" collapsed="false">
      <c r="A333" s="8" t="str">
        <f aca="false">HYPERLINK("https://www.fabsurplus.com/sdi_catalog/salesItemDetails.do?id=100387")</f>
        <v>https://www.fabsurplus.com/sdi_catalog/salesItemDetails.do?id=100387</v>
      </c>
      <c r="B333" s="8" t="s">
        <v>988</v>
      </c>
      <c r="C333" s="8" t="s">
        <v>97</v>
      </c>
      <c r="D333" s="8" t="s">
        <v>989</v>
      </c>
      <c r="E333" s="8" t="s">
        <v>887</v>
      </c>
      <c r="F333" s="8" t="s">
        <v>16</v>
      </c>
      <c r="G333" s="8" t="s">
        <v>263</v>
      </c>
      <c r="H333" s="8"/>
      <c r="I333" s="8"/>
      <c r="J333" s="8" t="s">
        <v>312</v>
      </c>
      <c r="K333" s="8"/>
    </row>
    <row r="334" customFormat="false" ht="12.8" hidden="false" customHeight="false" outlineLevel="0" collapsed="false">
      <c r="A334" s="6" t="str">
        <f aca="false">HYPERLINK("https://www.fabsurplus.com/sdi_catalog/salesItemDetails.do?id=100532")</f>
        <v>https://www.fabsurplus.com/sdi_catalog/salesItemDetails.do?id=100532</v>
      </c>
      <c r="B334" s="6" t="s">
        <v>990</v>
      </c>
      <c r="C334" s="6" t="s">
        <v>97</v>
      </c>
      <c r="D334" s="6" t="s">
        <v>991</v>
      </c>
      <c r="E334" s="6" t="s">
        <v>900</v>
      </c>
      <c r="F334" s="6" t="s">
        <v>913</v>
      </c>
      <c r="G334" s="6" t="s">
        <v>263</v>
      </c>
      <c r="H334" s="6"/>
      <c r="I334" s="6"/>
      <c r="J334" s="6" t="s">
        <v>312</v>
      </c>
      <c r="K334" s="6"/>
    </row>
    <row r="335" customFormat="false" ht="12.8" hidden="false" customHeight="false" outlineLevel="0" collapsed="false">
      <c r="A335" s="8" t="str">
        <f aca="false">HYPERLINK("https://www.fabsurplus.com/sdi_catalog/salesItemDetails.do?id=100533")</f>
        <v>https://www.fabsurplus.com/sdi_catalog/salesItemDetails.do?id=100533</v>
      </c>
      <c r="B335" s="8" t="s">
        <v>992</v>
      </c>
      <c r="C335" s="8" t="s">
        <v>97</v>
      </c>
      <c r="D335" s="8" t="s">
        <v>993</v>
      </c>
      <c r="E335" s="8" t="s">
        <v>900</v>
      </c>
      <c r="F335" s="8" t="s">
        <v>745</v>
      </c>
      <c r="G335" s="8" t="s">
        <v>263</v>
      </c>
      <c r="H335" s="8"/>
      <c r="I335" s="8"/>
      <c r="J335" s="8" t="s">
        <v>312</v>
      </c>
      <c r="K335" s="8"/>
    </row>
    <row r="336" customFormat="false" ht="12.8" hidden="false" customHeight="false" outlineLevel="0" collapsed="false">
      <c r="A336" s="6" t="str">
        <f aca="false">HYPERLINK("https://www.fabsurplus.com/sdi_catalog/salesItemDetails.do?id=100534")</f>
        <v>https://www.fabsurplus.com/sdi_catalog/salesItemDetails.do?id=100534</v>
      </c>
      <c r="B336" s="6" t="s">
        <v>994</v>
      </c>
      <c r="C336" s="6" t="s">
        <v>97</v>
      </c>
      <c r="D336" s="6" t="s">
        <v>995</v>
      </c>
      <c r="E336" s="6" t="s">
        <v>900</v>
      </c>
      <c r="F336" s="6" t="s">
        <v>745</v>
      </c>
      <c r="G336" s="6" t="s">
        <v>263</v>
      </c>
      <c r="H336" s="6"/>
      <c r="I336" s="6"/>
      <c r="J336" s="6" t="s">
        <v>312</v>
      </c>
      <c r="K336" s="6"/>
    </row>
    <row r="337" customFormat="false" ht="12.8" hidden="false" customHeight="false" outlineLevel="0" collapsed="false">
      <c r="A337" s="6" t="str">
        <f aca="false">HYPERLINK("https://www.fabsurplus.com/sdi_catalog/salesItemDetails.do?id=100388")</f>
        <v>https://www.fabsurplus.com/sdi_catalog/salesItemDetails.do?id=100388</v>
      </c>
      <c r="B337" s="6" t="s">
        <v>996</v>
      </c>
      <c r="C337" s="6" t="s">
        <v>97</v>
      </c>
      <c r="D337" s="6" t="s">
        <v>997</v>
      </c>
      <c r="E337" s="6" t="s">
        <v>887</v>
      </c>
      <c r="F337" s="6" t="s">
        <v>16</v>
      </c>
      <c r="G337" s="6" t="s">
        <v>263</v>
      </c>
      <c r="H337" s="6"/>
      <c r="I337" s="6"/>
      <c r="J337" s="6" t="s">
        <v>312</v>
      </c>
      <c r="K337" s="6"/>
    </row>
    <row r="338" customFormat="false" ht="12.8" hidden="false" customHeight="false" outlineLevel="0" collapsed="false">
      <c r="A338" s="8" t="str">
        <f aca="false">HYPERLINK("https://www.fabsurplus.com/sdi_catalog/salesItemDetails.do?id=100389")</f>
        <v>https://www.fabsurplus.com/sdi_catalog/salesItemDetails.do?id=100389</v>
      </c>
      <c r="B338" s="8" t="s">
        <v>998</v>
      </c>
      <c r="C338" s="8" t="s">
        <v>97</v>
      </c>
      <c r="D338" s="8" t="s">
        <v>999</v>
      </c>
      <c r="E338" s="8" t="s">
        <v>887</v>
      </c>
      <c r="F338" s="8" t="s">
        <v>16</v>
      </c>
      <c r="G338" s="8" t="s">
        <v>263</v>
      </c>
      <c r="H338" s="8"/>
      <c r="I338" s="8"/>
      <c r="J338" s="8" t="s">
        <v>312</v>
      </c>
      <c r="K338" s="8"/>
    </row>
    <row r="339" customFormat="false" ht="12.8" hidden="false" customHeight="false" outlineLevel="0" collapsed="false">
      <c r="A339" s="6" t="str">
        <f aca="false">HYPERLINK("https://www.fabsurplus.com/sdi_catalog/salesItemDetails.do?id=100410")</f>
        <v>https://www.fabsurplus.com/sdi_catalog/salesItemDetails.do?id=100410</v>
      </c>
      <c r="B339" s="6" t="s">
        <v>1000</v>
      </c>
      <c r="C339" s="6" t="s">
        <v>97</v>
      </c>
      <c r="D339" s="6" t="s">
        <v>1001</v>
      </c>
      <c r="E339" s="6" t="s">
        <v>936</v>
      </c>
      <c r="F339" s="6" t="s">
        <v>1002</v>
      </c>
      <c r="G339" s="6" t="s">
        <v>263</v>
      </c>
      <c r="H339" s="6"/>
      <c r="I339" s="6"/>
      <c r="J339" s="6" t="s">
        <v>312</v>
      </c>
      <c r="K339" s="6"/>
    </row>
    <row r="340" customFormat="false" ht="12.8" hidden="false" customHeight="false" outlineLevel="0" collapsed="false">
      <c r="A340" s="6" t="str">
        <f aca="false">HYPERLINK("https://www.fabsurplus.com/sdi_catalog/salesItemDetails.do?id=100446")</f>
        <v>https://www.fabsurplus.com/sdi_catalog/salesItemDetails.do?id=100446</v>
      </c>
      <c r="B340" s="6" t="s">
        <v>1003</v>
      </c>
      <c r="C340" s="6" t="s">
        <v>97</v>
      </c>
      <c r="D340" s="6" t="s">
        <v>1004</v>
      </c>
      <c r="E340" s="6" t="s">
        <v>1005</v>
      </c>
      <c r="F340" s="6" t="s">
        <v>16</v>
      </c>
      <c r="G340" s="6" t="s">
        <v>263</v>
      </c>
      <c r="H340" s="6"/>
      <c r="I340" s="6"/>
      <c r="J340" s="6" t="s">
        <v>312</v>
      </c>
      <c r="K340" s="6"/>
    </row>
    <row r="341" customFormat="false" ht="12.8" hidden="false" customHeight="false" outlineLevel="0" collapsed="false">
      <c r="A341" s="8" t="str">
        <f aca="false">HYPERLINK("https://www.fabsurplus.com/sdi_catalog/salesItemDetails.do?id=100535")</f>
        <v>https://www.fabsurplus.com/sdi_catalog/salesItemDetails.do?id=100535</v>
      </c>
      <c r="B341" s="8" t="s">
        <v>1006</v>
      </c>
      <c r="C341" s="8" t="s">
        <v>97</v>
      </c>
      <c r="D341" s="8" t="s">
        <v>1007</v>
      </c>
      <c r="E341" s="8" t="s">
        <v>900</v>
      </c>
      <c r="F341" s="8" t="s">
        <v>673</v>
      </c>
      <c r="G341" s="8" t="s">
        <v>263</v>
      </c>
      <c r="H341" s="8"/>
      <c r="I341" s="8"/>
      <c r="J341" s="8" t="s">
        <v>312</v>
      </c>
      <c r="K341" s="8"/>
    </row>
    <row r="342" customFormat="false" ht="12.8" hidden="false" customHeight="false" outlineLevel="0" collapsed="false">
      <c r="A342" s="6" t="str">
        <f aca="false">HYPERLINK("https://www.fabsurplus.com/sdi_catalog/salesItemDetails.do?id=100536")</f>
        <v>https://www.fabsurplus.com/sdi_catalog/salesItemDetails.do?id=100536</v>
      </c>
      <c r="B342" s="6" t="s">
        <v>1008</v>
      </c>
      <c r="C342" s="6" t="s">
        <v>97</v>
      </c>
      <c r="D342" s="6" t="s">
        <v>1009</v>
      </c>
      <c r="E342" s="6" t="s">
        <v>900</v>
      </c>
      <c r="F342" s="6" t="s">
        <v>913</v>
      </c>
      <c r="G342" s="6" t="s">
        <v>263</v>
      </c>
      <c r="H342" s="6"/>
      <c r="I342" s="6"/>
      <c r="J342" s="6" t="s">
        <v>312</v>
      </c>
      <c r="K342" s="6"/>
    </row>
    <row r="343" customFormat="false" ht="12.8" hidden="false" customHeight="false" outlineLevel="0" collapsed="false">
      <c r="A343" s="6" t="str">
        <f aca="false">HYPERLINK("https://www.fabsurplus.com/sdi_catalog/salesItemDetails.do?id=100411")</f>
        <v>https://www.fabsurplus.com/sdi_catalog/salesItemDetails.do?id=100411</v>
      </c>
      <c r="B343" s="6" t="s">
        <v>1010</v>
      </c>
      <c r="C343" s="6" t="s">
        <v>97</v>
      </c>
      <c r="D343" s="6" t="s">
        <v>1011</v>
      </c>
      <c r="E343" s="6" t="s">
        <v>936</v>
      </c>
      <c r="F343" s="6" t="s">
        <v>16</v>
      </c>
      <c r="G343" s="6" t="s">
        <v>263</v>
      </c>
      <c r="H343" s="6"/>
      <c r="I343" s="6"/>
      <c r="J343" s="6" t="s">
        <v>312</v>
      </c>
      <c r="K343" s="6"/>
    </row>
    <row r="344" customFormat="false" ht="12.8" hidden="false" customHeight="false" outlineLevel="0" collapsed="false">
      <c r="A344" s="8" t="str">
        <f aca="false">HYPERLINK("https://www.fabsurplus.com/sdi_catalog/salesItemDetails.do?id=100390")</f>
        <v>https://www.fabsurplus.com/sdi_catalog/salesItemDetails.do?id=100390</v>
      </c>
      <c r="B344" s="8" t="s">
        <v>1012</v>
      </c>
      <c r="C344" s="8" t="s">
        <v>97</v>
      </c>
      <c r="D344" s="8" t="s">
        <v>1013</v>
      </c>
      <c r="E344" s="8" t="s">
        <v>887</v>
      </c>
      <c r="F344" s="8" t="s">
        <v>16</v>
      </c>
      <c r="G344" s="8" t="s">
        <v>263</v>
      </c>
      <c r="H344" s="8"/>
      <c r="I344" s="8"/>
      <c r="J344" s="8" t="s">
        <v>312</v>
      </c>
      <c r="K344" s="8"/>
    </row>
    <row r="345" customFormat="false" ht="12.8" hidden="false" customHeight="false" outlineLevel="0" collapsed="false">
      <c r="A345" s="6" t="str">
        <f aca="false">HYPERLINK("https://www.fabsurplus.com/sdi_catalog/salesItemDetails.do?id=100412")</f>
        <v>https://www.fabsurplus.com/sdi_catalog/salesItemDetails.do?id=100412</v>
      </c>
      <c r="B345" s="6" t="s">
        <v>1014</v>
      </c>
      <c r="C345" s="6" t="s">
        <v>97</v>
      </c>
      <c r="D345" s="6" t="s">
        <v>1015</v>
      </c>
      <c r="E345" s="6" t="s">
        <v>936</v>
      </c>
      <c r="F345" s="6" t="s">
        <v>1016</v>
      </c>
      <c r="G345" s="6" t="s">
        <v>263</v>
      </c>
      <c r="H345" s="6"/>
      <c r="I345" s="6"/>
      <c r="J345" s="6" t="s">
        <v>312</v>
      </c>
      <c r="K345" s="6"/>
    </row>
    <row r="346" customFormat="false" ht="12.8" hidden="false" customHeight="false" outlineLevel="0" collapsed="false">
      <c r="A346" s="6" t="str">
        <f aca="false">HYPERLINK("https://www.fabsurplus.com/sdi_catalog/salesItemDetails.do?id=100413")</f>
        <v>https://www.fabsurplus.com/sdi_catalog/salesItemDetails.do?id=100413</v>
      </c>
      <c r="B346" s="6" t="s">
        <v>1017</v>
      </c>
      <c r="C346" s="6" t="s">
        <v>97</v>
      </c>
      <c r="D346" s="6" t="s">
        <v>1018</v>
      </c>
      <c r="E346" s="6" t="s">
        <v>936</v>
      </c>
      <c r="F346" s="6" t="s">
        <v>1019</v>
      </c>
      <c r="G346" s="6" t="s">
        <v>263</v>
      </c>
      <c r="H346" s="6"/>
      <c r="I346" s="6"/>
      <c r="J346" s="6" t="s">
        <v>312</v>
      </c>
      <c r="K346" s="6"/>
    </row>
    <row r="347" customFormat="false" ht="12.8" hidden="false" customHeight="false" outlineLevel="0" collapsed="false">
      <c r="A347" s="6" t="str">
        <f aca="false">HYPERLINK("https://www.fabsurplus.com/sdi_catalog/salesItemDetails.do?id=100414")</f>
        <v>https://www.fabsurplus.com/sdi_catalog/salesItemDetails.do?id=100414</v>
      </c>
      <c r="B347" s="6" t="s">
        <v>1020</v>
      </c>
      <c r="C347" s="6" t="s">
        <v>97</v>
      </c>
      <c r="D347" s="6" t="s">
        <v>1021</v>
      </c>
      <c r="E347" s="6" t="s">
        <v>936</v>
      </c>
      <c r="F347" s="6" t="s">
        <v>1022</v>
      </c>
      <c r="G347" s="6" t="s">
        <v>263</v>
      </c>
      <c r="H347" s="6"/>
      <c r="I347" s="6"/>
      <c r="J347" s="6" t="s">
        <v>312</v>
      </c>
      <c r="K347" s="6"/>
    </row>
    <row r="348" customFormat="false" ht="12.8" hidden="false" customHeight="false" outlineLevel="0" collapsed="false">
      <c r="A348" s="6" t="str">
        <f aca="false">HYPERLINK("https://www.fabsurplus.com/sdi_catalog/salesItemDetails.do?id=100415")</f>
        <v>https://www.fabsurplus.com/sdi_catalog/salesItemDetails.do?id=100415</v>
      </c>
      <c r="B348" s="6" t="s">
        <v>1023</v>
      </c>
      <c r="C348" s="6" t="s">
        <v>97</v>
      </c>
      <c r="D348" s="6" t="s">
        <v>1024</v>
      </c>
      <c r="E348" s="6" t="s">
        <v>936</v>
      </c>
      <c r="F348" s="6" t="s">
        <v>1016</v>
      </c>
      <c r="G348" s="6" t="s">
        <v>263</v>
      </c>
      <c r="H348" s="6"/>
      <c r="I348" s="6"/>
      <c r="J348" s="6" t="s">
        <v>312</v>
      </c>
      <c r="K348" s="6"/>
    </row>
    <row r="349" customFormat="false" ht="12.8" hidden="false" customHeight="false" outlineLevel="0" collapsed="false">
      <c r="A349" s="6" t="str">
        <f aca="false">HYPERLINK("https://www.fabsurplus.com/sdi_catalog/salesItemDetails.do?id=100391")</f>
        <v>https://www.fabsurplus.com/sdi_catalog/salesItemDetails.do?id=100391</v>
      </c>
      <c r="B349" s="6" t="s">
        <v>1025</v>
      </c>
      <c r="C349" s="6" t="s">
        <v>97</v>
      </c>
      <c r="D349" s="6" t="s">
        <v>1026</v>
      </c>
      <c r="E349" s="6" t="s">
        <v>887</v>
      </c>
      <c r="F349" s="6" t="s">
        <v>16</v>
      </c>
      <c r="G349" s="6" t="s">
        <v>263</v>
      </c>
      <c r="H349" s="6"/>
      <c r="I349" s="6"/>
      <c r="J349" s="6" t="s">
        <v>312</v>
      </c>
      <c r="K349" s="6"/>
    </row>
    <row r="350" customFormat="false" ht="12.8" hidden="false" customHeight="false" outlineLevel="0" collapsed="false">
      <c r="A350" s="6" t="str">
        <f aca="false">HYPERLINK("https://www.fabsurplus.com/sdi_catalog/salesItemDetails.do?id=100392")</f>
        <v>https://www.fabsurplus.com/sdi_catalog/salesItemDetails.do?id=100392</v>
      </c>
      <c r="B350" s="6" t="s">
        <v>1027</v>
      </c>
      <c r="C350" s="6" t="s">
        <v>97</v>
      </c>
      <c r="D350" s="6" t="s">
        <v>1028</v>
      </c>
      <c r="E350" s="6" t="s">
        <v>887</v>
      </c>
      <c r="F350" s="6" t="s">
        <v>16</v>
      </c>
      <c r="G350" s="6" t="s">
        <v>263</v>
      </c>
      <c r="H350" s="6"/>
      <c r="I350" s="6"/>
      <c r="J350" s="6" t="s">
        <v>312</v>
      </c>
      <c r="K350" s="6"/>
    </row>
    <row r="351" customFormat="false" ht="12.8" hidden="false" customHeight="false" outlineLevel="0" collapsed="false">
      <c r="A351" s="8" t="str">
        <f aca="false">HYPERLINK("https://www.fabsurplus.com/sdi_catalog/salesItemDetails.do?id=100416")</f>
        <v>https://www.fabsurplus.com/sdi_catalog/salesItemDetails.do?id=100416</v>
      </c>
      <c r="B351" s="8" t="s">
        <v>1029</v>
      </c>
      <c r="C351" s="8" t="s">
        <v>97</v>
      </c>
      <c r="D351" s="8" t="s">
        <v>1030</v>
      </c>
      <c r="E351" s="8" t="s">
        <v>936</v>
      </c>
      <c r="F351" s="8" t="s">
        <v>1031</v>
      </c>
      <c r="G351" s="8" t="s">
        <v>263</v>
      </c>
      <c r="H351" s="8"/>
      <c r="I351" s="8"/>
      <c r="J351" s="8" t="s">
        <v>312</v>
      </c>
      <c r="K351" s="8"/>
    </row>
    <row r="352" customFormat="false" ht="12.8" hidden="false" customHeight="false" outlineLevel="0" collapsed="false">
      <c r="A352" s="6" t="str">
        <f aca="false">HYPERLINK("https://www.fabsurplus.com/sdi_catalog/salesItemDetails.do?id=100537")</f>
        <v>https://www.fabsurplus.com/sdi_catalog/salesItemDetails.do?id=100537</v>
      </c>
      <c r="B352" s="6" t="s">
        <v>1032</v>
      </c>
      <c r="C352" s="6" t="s">
        <v>97</v>
      </c>
      <c r="D352" s="6" t="s">
        <v>1033</v>
      </c>
      <c r="E352" s="6" t="s">
        <v>900</v>
      </c>
      <c r="F352" s="6" t="s">
        <v>745</v>
      </c>
      <c r="G352" s="6" t="s">
        <v>263</v>
      </c>
      <c r="H352" s="6"/>
      <c r="I352" s="6"/>
      <c r="J352" s="6" t="s">
        <v>312</v>
      </c>
      <c r="K352" s="6"/>
    </row>
    <row r="353" customFormat="false" ht="12.8" hidden="false" customHeight="false" outlineLevel="0" collapsed="false">
      <c r="A353" s="8" t="str">
        <f aca="false">HYPERLINK("https://www.fabsurplus.com/sdi_catalog/salesItemDetails.do?id=100538")</f>
        <v>https://www.fabsurplus.com/sdi_catalog/salesItemDetails.do?id=100538</v>
      </c>
      <c r="B353" s="8" t="s">
        <v>1034</v>
      </c>
      <c r="C353" s="8" t="s">
        <v>97</v>
      </c>
      <c r="D353" s="8" t="s">
        <v>1035</v>
      </c>
      <c r="E353" s="8" t="s">
        <v>900</v>
      </c>
      <c r="F353" s="8" t="s">
        <v>626</v>
      </c>
      <c r="G353" s="8" t="s">
        <v>263</v>
      </c>
      <c r="H353" s="8"/>
      <c r="I353" s="8"/>
      <c r="J353" s="8" t="s">
        <v>312</v>
      </c>
      <c r="K353" s="8"/>
    </row>
    <row r="354" customFormat="false" ht="12.8" hidden="false" customHeight="false" outlineLevel="0" collapsed="false">
      <c r="A354" s="6" t="str">
        <f aca="false">HYPERLINK("https://www.fabsurplus.com/sdi_catalog/salesItemDetails.do?id=100539")</f>
        <v>https://www.fabsurplus.com/sdi_catalog/salesItemDetails.do?id=100539</v>
      </c>
      <c r="B354" s="6" t="s">
        <v>1036</v>
      </c>
      <c r="C354" s="6" t="s">
        <v>97</v>
      </c>
      <c r="D354" s="6" t="s">
        <v>1037</v>
      </c>
      <c r="E354" s="6" t="s">
        <v>900</v>
      </c>
      <c r="F354" s="6" t="s">
        <v>626</v>
      </c>
      <c r="G354" s="6" t="s">
        <v>263</v>
      </c>
      <c r="H354" s="6"/>
      <c r="I354" s="6"/>
      <c r="J354" s="6" t="s">
        <v>312</v>
      </c>
      <c r="K354" s="6"/>
    </row>
    <row r="355" customFormat="false" ht="12.8" hidden="false" customHeight="false" outlineLevel="0" collapsed="false">
      <c r="A355" s="6" t="str">
        <f aca="false">HYPERLINK("https://www.fabsurplus.com/sdi_catalog/salesItemDetails.do?id=100540")</f>
        <v>https://www.fabsurplus.com/sdi_catalog/salesItemDetails.do?id=100540</v>
      </c>
      <c r="B355" s="6" t="s">
        <v>1038</v>
      </c>
      <c r="C355" s="6" t="s">
        <v>97</v>
      </c>
      <c r="D355" s="6" t="s">
        <v>1039</v>
      </c>
      <c r="E355" s="6" t="s">
        <v>900</v>
      </c>
      <c r="F355" s="6" t="s">
        <v>626</v>
      </c>
      <c r="G355" s="6" t="s">
        <v>263</v>
      </c>
      <c r="H355" s="6"/>
      <c r="I355" s="6"/>
      <c r="J355" s="6" t="s">
        <v>312</v>
      </c>
      <c r="K355" s="6"/>
    </row>
    <row r="356" customFormat="false" ht="12.8" hidden="false" customHeight="false" outlineLevel="0" collapsed="false">
      <c r="A356" s="6" t="str">
        <f aca="false">HYPERLINK("https://www.fabsurplus.com/sdi_catalog/salesItemDetails.do?id=100541")</f>
        <v>https://www.fabsurplus.com/sdi_catalog/salesItemDetails.do?id=100541</v>
      </c>
      <c r="B356" s="6" t="s">
        <v>1040</v>
      </c>
      <c r="C356" s="6" t="s">
        <v>97</v>
      </c>
      <c r="D356" s="6" t="s">
        <v>1041</v>
      </c>
      <c r="E356" s="6" t="s">
        <v>900</v>
      </c>
      <c r="F356" s="6" t="s">
        <v>673</v>
      </c>
      <c r="G356" s="6" t="s">
        <v>263</v>
      </c>
      <c r="H356" s="6"/>
      <c r="I356" s="6"/>
      <c r="J356" s="6" t="s">
        <v>312</v>
      </c>
      <c r="K356" s="6"/>
    </row>
    <row r="357" customFormat="false" ht="12.8" hidden="false" customHeight="false" outlineLevel="0" collapsed="false">
      <c r="A357" s="6" t="str">
        <f aca="false">HYPERLINK("https://www.fabsurplus.com/sdi_catalog/salesItemDetails.do?id=100542")</f>
        <v>https://www.fabsurplus.com/sdi_catalog/salesItemDetails.do?id=100542</v>
      </c>
      <c r="B357" s="6" t="s">
        <v>1042</v>
      </c>
      <c r="C357" s="6" t="s">
        <v>97</v>
      </c>
      <c r="D357" s="6" t="s">
        <v>1043</v>
      </c>
      <c r="E357" s="6" t="s">
        <v>900</v>
      </c>
      <c r="F357" s="6" t="s">
        <v>913</v>
      </c>
      <c r="G357" s="6" t="s">
        <v>263</v>
      </c>
      <c r="H357" s="6"/>
      <c r="I357" s="6"/>
      <c r="J357" s="6" t="s">
        <v>312</v>
      </c>
      <c r="K357" s="6"/>
    </row>
    <row r="358" customFormat="false" ht="12.8" hidden="false" customHeight="false" outlineLevel="0" collapsed="false">
      <c r="A358" s="6" t="str">
        <f aca="false">HYPERLINK("https://www.fabsurplus.com/sdi_catalog/salesItemDetails.do?id=100543")</f>
        <v>https://www.fabsurplus.com/sdi_catalog/salesItemDetails.do?id=100543</v>
      </c>
      <c r="B358" s="6" t="s">
        <v>1044</v>
      </c>
      <c r="C358" s="6" t="s">
        <v>97</v>
      </c>
      <c r="D358" s="6" t="s">
        <v>1045</v>
      </c>
      <c r="E358" s="6" t="s">
        <v>900</v>
      </c>
      <c r="F358" s="6" t="s">
        <v>913</v>
      </c>
      <c r="G358" s="6" t="s">
        <v>263</v>
      </c>
      <c r="H358" s="6"/>
      <c r="I358" s="6"/>
      <c r="J358" s="6" t="s">
        <v>312</v>
      </c>
      <c r="K358" s="6"/>
    </row>
    <row r="359" customFormat="false" ht="12.8" hidden="false" customHeight="false" outlineLevel="0" collapsed="false">
      <c r="A359" s="8" t="str">
        <f aca="false">HYPERLINK("https://www.fabsurplus.com/sdi_catalog/salesItemDetails.do?id=100544")</f>
        <v>https://www.fabsurplus.com/sdi_catalog/salesItemDetails.do?id=100544</v>
      </c>
      <c r="B359" s="8" t="s">
        <v>1046</v>
      </c>
      <c r="C359" s="8" t="s">
        <v>97</v>
      </c>
      <c r="D359" s="8" t="s">
        <v>1047</v>
      </c>
      <c r="E359" s="8" t="s">
        <v>900</v>
      </c>
      <c r="F359" s="8" t="s">
        <v>626</v>
      </c>
      <c r="G359" s="8" t="s">
        <v>263</v>
      </c>
      <c r="H359" s="8"/>
      <c r="I359" s="8"/>
      <c r="J359" s="8" t="s">
        <v>312</v>
      </c>
      <c r="K359" s="8"/>
    </row>
    <row r="360" customFormat="false" ht="12.8" hidden="false" customHeight="false" outlineLevel="0" collapsed="false">
      <c r="A360" s="6" t="str">
        <f aca="false">HYPERLINK("https://www.fabsurplus.com/sdi_catalog/salesItemDetails.do?id=100545")</f>
        <v>https://www.fabsurplus.com/sdi_catalog/salesItemDetails.do?id=100545</v>
      </c>
      <c r="B360" s="6" t="s">
        <v>1048</v>
      </c>
      <c r="C360" s="6" t="s">
        <v>97</v>
      </c>
      <c r="D360" s="6" t="s">
        <v>1049</v>
      </c>
      <c r="E360" s="6" t="s">
        <v>900</v>
      </c>
      <c r="F360" s="6" t="s">
        <v>913</v>
      </c>
      <c r="G360" s="6" t="s">
        <v>263</v>
      </c>
      <c r="H360" s="6"/>
      <c r="I360" s="6"/>
      <c r="J360" s="6" t="s">
        <v>312</v>
      </c>
      <c r="K360" s="6"/>
    </row>
    <row r="361" customFormat="false" ht="12.8" hidden="false" customHeight="false" outlineLevel="0" collapsed="false">
      <c r="A361" s="6" t="str">
        <f aca="false">HYPERLINK("https://www.fabsurplus.com/sdi_catalog/salesItemDetails.do?id=100546")</f>
        <v>https://www.fabsurplus.com/sdi_catalog/salesItemDetails.do?id=100546</v>
      </c>
      <c r="B361" s="6" t="s">
        <v>1050</v>
      </c>
      <c r="C361" s="6" t="s">
        <v>97</v>
      </c>
      <c r="D361" s="6" t="s">
        <v>1051</v>
      </c>
      <c r="E361" s="6" t="s">
        <v>900</v>
      </c>
      <c r="F361" s="6" t="s">
        <v>742</v>
      </c>
      <c r="G361" s="6" t="s">
        <v>263</v>
      </c>
      <c r="H361" s="6"/>
      <c r="I361" s="6"/>
      <c r="J361" s="6" t="s">
        <v>312</v>
      </c>
      <c r="K361" s="6"/>
    </row>
    <row r="362" customFormat="false" ht="12.8" hidden="false" customHeight="false" outlineLevel="0" collapsed="false">
      <c r="A362" s="6" t="str">
        <f aca="false">HYPERLINK("https://www.fabsurplus.com/sdi_catalog/salesItemDetails.do?id=100547")</f>
        <v>https://www.fabsurplus.com/sdi_catalog/salesItemDetails.do?id=100547</v>
      </c>
      <c r="B362" s="6" t="s">
        <v>1052</v>
      </c>
      <c r="C362" s="6" t="s">
        <v>97</v>
      </c>
      <c r="D362" s="6" t="s">
        <v>1053</v>
      </c>
      <c r="E362" s="6" t="s">
        <v>900</v>
      </c>
      <c r="F362" s="6" t="s">
        <v>913</v>
      </c>
      <c r="G362" s="6" t="s">
        <v>263</v>
      </c>
      <c r="H362" s="6"/>
      <c r="I362" s="6"/>
      <c r="J362" s="6" t="s">
        <v>312</v>
      </c>
      <c r="K362" s="6"/>
    </row>
    <row r="363" customFormat="false" ht="12.8" hidden="false" customHeight="false" outlineLevel="0" collapsed="false">
      <c r="A363" s="6" t="str">
        <f aca="false">HYPERLINK("https://www.fabsurplus.com/sdi_catalog/salesItemDetails.do?id=100548")</f>
        <v>https://www.fabsurplus.com/sdi_catalog/salesItemDetails.do?id=100548</v>
      </c>
      <c r="B363" s="6" t="s">
        <v>1054</v>
      </c>
      <c r="C363" s="6" t="s">
        <v>97</v>
      </c>
      <c r="D363" s="6" t="s">
        <v>1055</v>
      </c>
      <c r="E363" s="6" t="s">
        <v>900</v>
      </c>
      <c r="F363" s="6" t="s">
        <v>745</v>
      </c>
      <c r="G363" s="6" t="s">
        <v>263</v>
      </c>
      <c r="H363" s="6"/>
      <c r="I363" s="6"/>
      <c r="J363" s="6" t="s">
        <v>312</v>
      </c>
      <c r="K363" s="6"/>
    </row>
    <row r="364" customFormat="false" ht="12.8" hidden="false" customHeight="false" outlineLevel="0" collapsed="false">
      <c r="A364" s="6" t="str">
        <f aca="false">HYPERLINK("https://www.fabsurplus.com/sdi_catalog/salesItemDetails.do?id=100549")</f>
        <v>https://www.fabsurplus.com/sdi_catalog/salesItemDetails.do?id=100549</v>
      </c>
      <c r="B364" s="6" t="s">
        <v>1056</v>
      </c>
      <c r="C364" s="6" t="s">
        <v>97</v>
      </c>
      <c r="D364" s="6" t="s">
        <v>1057</v>
      </c>
      <c r="E364" s="6" t="s">
        <v>900</v>
      </c>
      <c r="F364" s="6" t="s">
        <v>913</v>
      </c>
      <c r="G364" s="6" t="s">
        <v>263</v>
      </c>
      <c r="H364" s="6"/>
      <c r="I364" s="6"/>
      <c r="J364" s="6" t="s">
        <v>312</v>
      </c>
      <c r="K364" s="6"/>
    </row>
    <row r="365" customFormat="false" ht="12.8" hidden="false" customHeight="false" outlineLevel="0" collapsed="false">
      <c r="A365" s="6" t="str">
        <f aca="false">HYPERLINK("https://www.fabsurplus.com/sdi_catalog/salesItemDetails.do?id=100550")</f>
        <v>https://www.fabsurplus.com/sdi_catalog/salesItemDetails.do?id=100550</v>
      </c>
      <c r="B365" s="6" t="s">
        <v>1058</v>
      </c>
      <c r="C365" s="6" t="s">
        <v>97</v>
      </c>
      <c r="D365" s="6" t="s">
        <v>1059</v>
      </c>
      <c r="E365" s="6" t="s">
        <v>900</v>
      </c>
      <c r="F365" s="6" t="s">
        <v>745</v>
      </c>
      <c r="G365" s="6" t="s">
        <v>263</v>
      </c>
      <c r="H365" s="6"/>
      <c r="I365" s="6"/>
      <c r="J365" s="6" t="s">
        <v>312</v>
      </c>
      <c r="K365" s="6"/>
    </row>
    <row r="366" customFormat="false" ht="12.8" hidden="false" customHeight="false" outlineLevel="0" collapsed="false">
      <c r="A366" s="6" t="str">
        <f aca="false">HYPERLINK("https://www.fabsurplus.com/sdi_catalog/salesItemDetails.do?id=100551")</f>
        <v>https://www.fabsurplus.com/sdi_catalog/salesItemDetails.do?id=100551</v>
      </c>
      <c r="B366" s="6" t="s">
        <v>1060</v>
      </c>
      <c r="C366" s="6" t="s">
        <v>97</v>
      </c>
      <c r="D366" s="6" t="s">
        <v>1061</v>
      </c>
      <c r="E366" s="6" t="s">
        <v>900</v>
      </c>
      <c r="F366" s="6" t="s">
        <v>245</v>
      </c>
      <c r="G366" s="6" t="s">
        <v>263</v>
      </c>
      <c r="H366" s="6"/>
      <c r="I366" s="6"/>
      <c r="J366" s="6" t="s">
        <v>312</v>
      </c>
      <c r="K366" s="6"/>
    </row>
    <row r="367" customFormat="false" ht="12.8" hidden="false" customHeight="false" outlineLevel="0" collapsed="false">
      <c r="A367" s="8" t="str">
        <f aca="false">HYPERLINK("https://www.fabsurplus.com/sdi_catalog/salesItemDetails.do?id=100552")</f>
        <v>https://www.fabsurplus.com/sdi_catalog/salesItemDetails.do?id=100552</v>
      </c>
      <c r="B367" s="8" t="s">
        <v>1062</v>
      </c>
      <c r="C367" s="8" t="s">
        <v>97</v>
      </c>
      <c r="D367" s="8" t="s">
        <v>1063</v>
      </c>
      <c r="E367" s="8" t="s">
        <v>900</v>
      </c>
      <c r="F367" s="8" t="s">
        <v>742</v>
      </c>
      <c r="G367" s="8" t="s">
        <v>263</v>
      </c>
      <c r="H367" s="8"/>
      <c r="I367" s="8"/>
      <c r="J367" s="8" t="s">
        <v>312</v>
      </c>
      <c r="K367" s="8"/>
    </row>
    <row r="368" customFormat="false" ht="12.8" hidden="false" customHeight="false" outlineLevel="0" collapsed="false">
      <c r="A368" s="6" t="str">
        <f aca="false">HYPERLINK("https://www.fabsurplus.com/sdi_catalog/salesItemDetails.do?id=100621")</f>
        <v>https://www.fabsurplus.com/sdi_catalog/salesItemDetails.do?id=100621</v>
      </c>
      <c r="B368" s="6" t="s">
        <v>1064</v>
      </c>
      <c r="C368" s="6" t="s">
        <v>97</v>
      </c>
      <c r="D368" s="6" t="s">
        <v>1065</v>
      </c>
      <c r="E368" s="6" t="s">
        <v>1066</v>
      </c>
      <c r="F368" s="6" t="s">
        <v>673</v>
      </c>
      <c r="G368" s="6" t="s">
        <v>263</v>
      </c>
      <c r="H368" s="6"/>
      <c r="I368" s="6"/>
      <c r="J368" s="6" t="s">
        <v>312</v>
      </c>
      <c r="K368" s="6"/>
    </row>
    <row r="369" customFormat="false" ht="12.8" hidden="false" customHeight="false" outlineLevel="0" collapsed="false">
      <c r="A369" s="8" t="str">
        <f aca="false">HYPERLINK("https://www.fabsurplus.com/sdi_catalog/salesItemDetails.do?id=100553")</f>
        <v>https://www.fabsurplus.com/sdi_catalog/salesItemDetails.do?id=100553</v>
      </c>
      <c r="B369" s="8" t="s">
        <v>1067</v>
      </c>
      <c r="C369" s="8" t="s">
        <v>97</v>
      </c>
      <c r="D369" s="8" t="s">
        <v>1068</v>
      </c>
      <c r="E369" s="8" t="s">
        <v>900</v>
      </c>
      <c r="F369" s="8" t="s">
        <v>626</v>
      </c>
      <c r="G369" s="8" t="s">
        <v>263</v>
      </c>
      <c r="H369" s="8"/>
      <c r="I369" s="8"/>
      <c r="J369" s="8" t="s">
        <v>312</v>
      </c>
      <c r="K369" s="8"/>
    </row>
    <row r="370" customFormat="false" ht="12.8" hidden="false" customHeight="false" outlineLevel="0" collapsed="false">
      <c r="A370" s="8" t="str">
        <f aca="false">HYPERLINK("https://www.fabsurplus.com/sdi_catalog/salesItemDetails.do?id=100554")</f>
        <v>https://www.fabsurplus.com/sdi_catalog/salesItemDetails.do?id=100554</v>
      </c>
      <c r="B370" s="8" t="s">
        <v>1069</v>
      </c>
      <c r="C370" s="8" t="s">
        <v>97</v>
      </c>
      <c r="D370" s="8" t="s">
        <v>1070</v>
      </c>
      <c r="E370" s="8" t="s">
        <v>900</v>
      </c>
      <c r="F370" s="8" t="s">
        <v>211</v>
      </c>
      <c r="G370" s="8" t="s">
        <v>263</v>
      </c>
      <c r="H370" s="8"/>
      <c r="I370" s="8"/>
      <c r="J370" s="8" t="s">
        <v>312</v>
      </c>
      <c r="K370" s="8"/>
    </row>
    <row r="371" customFormat="false" ht="12.8" hidden="false" customHeight="false" outlineLevel="0" collapsed="false">
      <c r="A371" s="8" t="str">
        <f aca="false">HYPERLINK("https://www.fabsurplus.com/sdi_catalog/salesItemDetails.do?id=100555")</f>
        <v>https://www.fabsurplus.com/sdi_catalog/salesItemDetails.do?id=100555</v>
      </c>
      <c r="B371" s="8" t="s">
        <v>1071</v>
      </c>
      <c r="C371" s="8" t="s">
        <v>97</v>
      </c>
      <c r="D371" s="8" t="s">
        <v>1072</v>
      </c>
      <c r="E371" s="8" t="s">
        <v>900</v>
      </c>
      <c r="F371" s="8" t="s">
        <v>245</v>
      </c>
      <c r="G371" s="8" t="s">
        <v>263</v>
      </c>
      <c r="H371" s="8"/>
      <c r="I371" s="8"/>
      <c r="J371" s="8" t="s">
        <v>312</v>
      </c>
      <c r="K371" s="8"/>
    </row>
    <row r="372" customFormat="false" ht="12.8" hidden="false" customHeight="false" outlineLevel="0" collapsed="false">
      <c r="A372" s="8" t="str">
        <f aca="false">HYPERLINK("https://www.fabsurplus.com/sdi_catalog/salesItemDetails.do?id=100556")</f>
        <v>https://www.fabsurplus.com/sdi_catalog/salesItemDetails.do?id=100556</v>
      </c>
      <c r="B372" s="8" t="s">
        <v>1073</v>
      </c>
      <c r="C372" s="8" t="s">
        <v>97</v>
      </c>
      <c r="D372" s="8" t="s">
        <v>1074</v>
      </c>
      <c r="E372" s="8" t="s">
        <v>900</v>
      </c>
      <c r="F372" s="8" t="s">
        <v>742</v>
      </c>
      <c r="G372" s="8" t="s">
        <v>263</v>
      </c>
      <c r="H372" s="8"/>
      <c r="I372" s="8"/>
      <c r="J372" s="8" t="s">
        <v>312</v>
      </c>
      <c r="K372" s="8"/>
    </row>
    <row r="373" customFormat="false" ht="12.8" hidden="false" customHeight="false" outlineLevel="0" collapsed="false">
      <c r="A373" s="8" t="str">
        <f aca="false">HYPERLINK("https://www.fabsurplus.com/sdi_catalog/salesItemDetails.do?id=100557")</f>
        <v>https://www.fabsurplus.com/sdi_catalog/salesItemDetails.do?id=100557</v>
      </c>
      <c r="B373" s="8" t="s">
        <v>1075</v>
      </c>
      <c r="C373" s="8" t="s">
        <v>97</v>
      </c>
      <c r="D373" s="8" t="s">
        <v>1076</v>
      </c>
      <c r="E373" s="8" t="s">
        <v>900</v>
      </c>
      <c r="F373" s="8" t="s">
        <v>626</v>
      </c>
      <c r="G373" s="8" t="s">
        <v>263</v>
      </c>
      <c r="H373" s="8"/>
      <c r="I373" s="8"/>
      <c r="J373" s="8" t="s">
        <v>312</v>
      </c>
      <c r="K373" s="8"/>
    </row>
    <row r="374" customFormat="false" ht="12.8" hidden="false" customHeight="false" outlineLevel="0" collapsed="false">
      <c r="A374" s="8" t="str">
        <f aca="false">HYPERLINK("https://www.fabsurplus.com/sdi_catalog/salesItemDetails.do?id=100558")</f>
        <v>https://www.fabsurplus.com/sdi_catalog/salesItemDetails.do?id=100558</v>
      </c>
      <c r="B374" s="8" t="s">
        <v>1077</v>
      </c>
      <c r="C374" s="8" t="s">
        <v>97</v>
      </c>
      <c r="D374" s="8" t="s">
        <v>1078</v>
      </c>
      <c r="E374" s="8" t="s">
        <v>900</v>
      </c>
      <c r="F374" s="8" t="s">
        <v>673</v>
      </c>
      <c r="G374" s="8" t="s">
        <v>263</v>
      </c>
      <c r="H374" s="8"/>
      <c r="I374" s="8"/>
      <c r="J374" s="8" t="s">
        <v>312</v>
      </c>
      <c r="K374" s="8"/>
    </row>
    <row r="375" customFormat="false" ht="12.8" hidden="false" customHeight="false" outlineLevel="0" collapsed="false">
      <c r="A375" s="6" t="str">
        <f aca="false">HYPERLINK("https://www.fabsurplus.com/sdi_catalog/salesItemDetails.do?id=100559")</f>
        <v>https://www.fabsurplus.com/sdi_catalog/salesItemDetails.do?id=100559</v>
      </c>
      <c r="B375" s="6" t="s">
        <v>1079</v>
      </c>
      <c r="C375" s="6" t="s">
        <v>97</v>
      </c>
      <c r="D375" s="6" t="s">
        <v>1080</v>
      </c>
      <c r="E375" s="6" t="s">
        <v>900</v>
      </c>
      <c r="F375" s="6" t="s">
        <v>245</v>
      </c>
      <c r="G375" s="6" t="s">
        <v>263</v>
      </c>
      <c r="H375" s="6"/>
      <c r="I375" s="6"/>
      <c r="J375" s="6" t="s">
        <v>312</v>
      </c>
      <c r="K375" s="6"/>
    </row>
    <row r="376" customFormat="false" ht="12.8" hidden="false" customHeight="false" outlineLevel="0" collapsed="false">
      <c r="A376" s="6" t="str">
        <f aca="false">HYPERLINK("https://www.fabsurplus.com/sdi_catalog/salesItemDetails.do?id=100393")</f>
        <v>https://www.fabsurplus.com/sdi_catalog/salesItemDetails.do?id=100393</v>
      </c>
      <c r="B376" s="6" t="s">
        <v>1081</v>
      </c>
      <c r="C376" s="6" t="s">
        <v>97</v>
      </c>
      <c r="D376" s="6" t="s">
        <v>1082</v>
      </c>
      <c r="E376" s="6" t="s">
        <v>887</v>
      </c>
      <c r="F376" s="6" t="s">
        <v>16</v>
      </c>
      <c r="G376" s="6" t="s">
        <v>263</v>
      </c>
      <c r="H376" s="6"/>
      <c r="I376" s="6"/>
      <c r="J376" s="6" t="s">
        <v>312</v>
      </c>
      <c r="K376" s="6"/>
    </row>
    <row r="377" customFormat="false" ht="12.8" hidden="false" customHeight="false" outlineLevel="0" collapsed="false">
      <c r="A377" s="6" t="str">
        <f aca="false">HYPERLINK("https://www.fabsurplus.com/sdi_catalog/salesItemDetails.do?id=100394")</f>
        <v>https://www.fabsurplus.com/sdi_catalog/salesItemDetails.do?id=100394</v>
      </c>
      <c r="B377" s="6" t="s">
        <v>1083</v>
      </c>
      <c r="C377" s="6" t="s">
        <v>97</v>
      </c>
      <c r="D377" s="6" t="s">
        <v>1084</v>
      </c>
      <c r="E377" s="6" t="s">
        <v>887</v>
      </c>
      <c r="F377" s="6" t="s">
        <v>16</v>
      </c>
      <c r="G377" s="6" t="s">
        <v>263</v>
      </c>
      <c r="H377" s="6"/>
      <c r="I377" s="6"/>
      <c r="J377" s="6" t="s">
        <v>312</v>
      </c>
      <c r="K377" s="6"/>
    </row>
    <row r="378" customFormat="false" ht="12.8" hidden="false" customHeight="false" outlineLevel="0" collapsed="false">
      <c r="A378" s="6" t="str">
        <f aca="false">HYPERLINK("https://www.fabsurplus.com/sdi_catalog/salesItemDetails.do?id=100560")</f>
        <v>https://www.fabsurplus.com/sdi_catalog/salesItemDetails.do?id=100560</v>
      </c>
      <c r="B378" s="6" t="s">
        <v>1085</v>
      </c>
      <c r="C378" s="6" t="s">
        <v>97</v>
      </c>
      <c r="D378" s="6" t="s">
        <v>1086</v>
      </c>
      <c r="E378" s="6" t="s">
        <v>900</v>
      </c>
      <c r="F378" s="6" t="s">
        <v>673</v>
      </c>
      <c r="G378" s="6" t="s">
        <v>263</v>
      </c>
      <c r="H378" s="6"/>
      <c r="I378" s="6"/>
      <c r="J378" s="6" t="s">
        <v>312</v>
      </c>
      <c r="K378" s="6"/>
    </row>
    <row r="379" customFormat="false" ht="12.8" hidden="false" customHeight="false" outlineLevel="0" collapsed="false">
      <c r="A379" s="8" t="str">
        <f aca="false">HYPERLINK("https://www.fabsurplus.com/sdi_catalog/salesItemDetails.do?id=100561")</f>
        <v>https://www.fabsurplus.com/sdi_catalog/salesItemDetails.do?id=100561</v>
      </c>
      <c r="B379" s="8" t="s">
        <v>1087</v>
      </c>
      <c r="C379" s="8" t="s">
        <v>97</v>
      </c>
      <c r="D379" s="8" t="s">
        <v>1088</v>
      </c>
      <c r="E379" s="8" t="s">
        <v>900</v>
      </c>
      <c r="F379" s="8" t="s">
        <v>626</v>
      </c>
      <c r="G379" s="8" t="s">
        <v>263</v>
      </c>
      <c r="H379" s="8"/>
      <c r="I379" s="8"/>
      <c r="J379" s="8" t="s">
        <v>312</v>
      </c>
      <c r="K379" s="8"/>
    </row>
    <row r="380" customFormat="false" ht="12.8" hidden="false" customHeight="false" outlineLevel="0" collapsed="false">
      <c r="A380" s="8" t="str">
        <f aca="false">HYPERLINK("https://www.fabsurplus.com/sdi_catalog/salesItemDetails.do?id=100395")</f>
        <v>https://www.fabsurplus.com/sdi_catalog/salesItemDetails.do?id=100395</v>
      </c>
      <c r="B380" s="8" t="s">
        <v>1089</v>
      </c>
      <c r="C380" s="8" t="s">
        <v>97</v>
      </c>
      <c r="D380" s="8" t="s">
        <v>1090</v>
      </c>
      <c r="E380" s="8" t="s">
        <v>887</v>
      </c>
      <c r="F380" s="8" t="s">
        <v>16</v>
      </c>
      <c r="G380" s="8" t="s">
        <v>263</v>
      </c>
      <c r="H380" s="8"/>
      <c r="I380" s="8"/>
      <c r="J380" s="8" t="s">
        <v>312</v>
      </c>
      <c r="K380" s="8"/>
    </row>
    <row r="381" customFormat="false" ht="12.8" hidden="false" customHeight="false" outlineLevel="0" collapsed="false">
      <c r="A381" s="8" t="str">
        <f aca="false">HYPERLINK("https://www.fabsurplus.com/sdi_catalog/salesItemDetails.do?id=100562")</f>
        <v>https://www.fabsurplus.com/sdi_catalog/salesItemDetails.do?id=100562</v>
      </c>
      <c r="B381" s="8" t="s">
        <v>1091</v>
      </c>
      <c r="C381" s="8" t="s">
        <v>97</v>
      </c>
      <c r="D381" s="8" t="s">
        <v>1092</v>
      </c>
      <c r="E381" s="8" t="s">
        <v>900</v>
      </c>
      <c r="F381" s="8" t="s">
        <v>913</v>
      </c>
      <c r="G381" s="8" t="s">
        <v>263</v>
      </c>
      <c r="H381" s="8"/>
      <c r="I381" s="8"/>
      <c r="J381" s="8" t="s">
        <v>312</v>
      </c>
      <c r="K381" s="8"/>
    </row>
    <row r="382" customFormat="false" ht="12.8" hidden="false" customHeight="false" outlineLevel="0" collapsed="false">
      <c r="A382" s="6" t="str">
        <f aca="false">HYPERLINK("https://www.fabsurplus.com/sdi_catalog/salesItemDetails.do?id=100417")</f>
        <v>https://www.fabsurplus.com/sdi_catalog/salesItemDetails.do?id=100417</v>
      </c>
      <c r="B382" s="6" t="s">
        <v>1093</v>
      </c>
      <c r="C382" s="6" t="s">
        <v>97</v>
      </c>
      <c r="D382" s="6" t="s">
        <v>1094</v>
      </c>
      <c r="E382" s="6" t="s">
        <v>936</v>
      </c>
      <c r="F382" s="6" t="s">
        <v>673</v>
      </c>
      <c r="G382" s="6" t="s">
        <v>263</v>
      </c>
      <c r="H382" s="6"/>
      <c r="I382" s="6"/>
      <c r="J382" s="6" t="s">
        <v>312</v>
      </c>
      <c r="K382" s="6"/>
    </row>
    <row r="383" customFormat="false" ht="12.8" hidden="false" customHeight="false" outlineLevel="0" collapsed="false">
      <c r="A383" s="6" t="str">
        <f aca="false">HYPERLINK("https://www.fabsurplus.com/sdi_catalog/salesItemDetails.do?id=100418")</f>
        <v>https://www.fabsurplus.com/sdi_catalog/salesItemDetails.do?id=100418</v>
      </c>
      <c r="B383" s="6" t="s">
        <v>1095</v>
      </c>
      <c r="C383" s="6" t="s">
        <v>97</v>
      </c>
      <c r="D383" s="6" t="s">
        <v>1096</v>
      </c>
      <c r="E383" s="6" t="s">
        <v>936</v>
      </c>
      <c r="F383" s="6" t="s">
        <v>745</v>
      </c>
      <c r="G383" s="6" t="s">
        <v>263</v>
      </c>
      <c r="H383" s="6"/>
      <c r="I383" s="6"/>
      <c r="J383" s="6" t="s">
        <v>312</v>
      </c>
      <c r="K383" s="6"/>
    </row>
    <row r="384" customFormat="false" ht="12.8" hidden="false" customHeight="false" outlineLevel="0" collapsed="false">
      <c r="A384" s="8" t="str">
        <f aca="false">HYPERLINK("https://www.fabsurplus.com/sdi_catalog/salesItemDetails.do?id=100396")</f>
        <v>https://www.fabsurplus.com/sdi_catalog/salesItemDetails.do?id=100396</v>
      </c>
      <c r="B384" s="8" t="s">
        <v>1097</v>
      </c>
      <c r="C384" s="8" t="s">
        <v>97</v>
      </c>
      <c r="D384" s="8" t="s">
        <v>1098</v>
      </c>
      <c r="E384" s="8" t="s">
        <v>887</v>
      </c>
      <c r="F384" s="8" t="s">
        <v>16</v>
      </c>
      <c r="G384" s="8" t="s">
        <v>263</v>
      </c>
      <c r="H384" s="8"/>
      <c r="I384" s="8"/>
      <c r="J384" s="8" t="s">
        <v>312</v>
      </c>
      <c r="K384" s="8"/>
    </row>
    <row r="385" customFormat="false" ht="12.8" hidden="false" customHeight="false" outlineLevel="0" collapsed="false">
      <c r="A385" s="6" t="str">
        <f aca="false">HYPERLINK("https://www.fabsurplus.com/sdi_catalog/salesItemDetails.do?id=100397")</f>
        <v>https://www.fabsurplus.com/sdi_catalog/salesItemDetails.do?id=100397</v>
      </c>
      <c r="B385" s="6" t="s">
        <v>1099</v>
      </c>
      <c r="C385" s="6" t="s">
        <v>97</v>
      </c>
      <c r="D385" s="6" t="s">
        <v>1100</v>
      </c>
      <c r="E385" s="6" t="s">
        <v>887</v>
      </c>
      <c r="F385" s="6" t="s">
        <v>16</v>
      </c>
      <c r="G385" s="6" t="s">
        <v>263</v>
      </c>
      <c r="H385" s="6"/>
      <c r="I385" s="6"/>
      <c r="J385" s="6" t="s">
        <v>312</v>
      </c>
      <c r="K385" s="6"/>
    </row>
    <row r="386" customFormat="false" ht="12.8" hidden="false" customHeight="false" outlineLevel="0" collapsed="false">
      <c r="A386" s="8" t="str">
        <f aca="false">HYPERLINK("https://www.fabsurplus.com/sdi_catalog/salesItemDetails.do?id=100419")</f>
        <v>https://www.fabsurplus.com/sdi_catalog/salesItemDetails.do?id=100419</v>
      </c>
      <c r="B386" s="8" t="s">
        <v>1101</v>
      </c>
      <c r="C386" s="8" t="s">
        <v>97</v>
      </c>
      <c r="D386" s="8" t="s">
        <v>1102</v>
      </c>
      <c r="E386" s="8" t="s">
        <v>936</v>
      </c>
      <c r="F386" s="8" t="s">
        <v>245</v>
      </c>
      <c r="G386" s="8" t="s">
        <v>263</v>
      </c>
      <c r="H386" s="8"/>
      <c r="I386" s="8"/>
      <c r="J386" s="8" t="s">
        <v>312</v>
      </c>
      <c r="K386" s="8"/>
    </row>
    <row r="387" customFormat="false" ht="12.8" hidden="false" customHeight="false" outlineLevel="0" collapsed="false">
      <c r="A387" s="8" t="str">
        <f aca="false">HYPERLINK("https://www.fabsurplus.com/sdi_catalog/salesItemDetails.do?id=100420")</f>
        <v>https://www.fabsurplus.com/sdi_catalog/salesItemDetails.do?id=100420</v>
      </c>
      <c r="B387" s="8" t="s">
        <v>1103</v>
      </c>
      <c r="C387" s="8" t="s">
        <v>97</v>
      </c>
      <c r="D387" s="8" t="s">
        <v>1104</v>
      </c>
      <c r="E387" s="8" t="s">
        <v>936</v>
      </c>
      <c r="F387" s="8" t="s">
        <v>673</v>
      </c>
      <c r="G387" s="8" t="s">
        <v>263</v>
      </c>
      <c r="H387" s="8"/>
      <c r="I387" s="8"/>
      <c r="J387" s="8" t="s">
        <v>312</v>
      </c>
      <c r="K387" s="8"/>
    </row>
    <row r="388" customFormat="false" ht="12.8" hidden="false" customHeight="false" outlineLevel="0" collapsed="false">
      <c r="A388" s="8" t="str">
        <f aca="false">HYPERLINK("https://www.fabsurplus.com/sdi_catalog/salesItemDetails.do?id=100398")</f>
        <v>https://www.fabsurplus.com/sdi_catalog/salesItemDetails.do?id=100398</v>
      </c>
      <c r="B388" s="8" t="s">
        <v>1105</v>
      </c>
      <c r="C388" s="8" t="s">
        <v>97</v>
      </c>
      <c r="D388" s="8" t="s">
        <v>1106</v>
      </c>
      <c r="E388" s="8" t="s">
        <v>887</v>
      </c>
      <c r="F388" s="8" t="s">
        <v>16</v>
      </c>
      <c r="G388" s="8" t="s">
        <v>263</v>
      </c>
      <c r="H388" s="8"/>
      <c r="I388" s="8"/>
      <c r="J388" s="8" t="s">
        <v>312</v>
      </c>
      <c r="K388" s="8"/>
    </row>
    <row r="389" customFormat="false" ht="12.8" hidden="false" customHeight="false" outlineLevel="0" collapsed="false">
      <c r="A389" s="6" t="str">
        <f aca="false">HYPERLINK("https://www.fabsurplus.com/sdi_catalog/salesItemDetails.do?id=100399")</f>
        <v>https://www.fabsurplus.com/sdi_catalog/salesItemDetails.do?id=100399</v>
      </c>
      <c r="B389" s="6" t="s">
        <v>1107</v>
      </c>
      <c r="C389" s="6" t="s">
        <v>97</v>
      </c>
      <c r="D389" s="6" t="s">
        <v>1108</v>
      </c>
      <c r="E389" s="6" t="s">
        <v>887</v>
      </c>
      <c r="F389" s="6" t="s">
        <v>16</v>
      </c>
      <c r="G389" s="6" t="s">
        <v>263</v>
      </c>
      <c r="H389" s="6"/>
      <c r="I389" s="6"/>
      <c r="J389" s="6" t="s">
        <v>312</v>
      </c>
      <c r="K389" s="6"/>
    </row>
    <row r="390" customFormat="false" ht="12.8" hidden="false" customHeight="false" outlineLevel="0" collapsed="false">
      <c r="A390" s="8" t="str">
        <f aca="false">HYPERLINK("https://www.fabsurplus.com/sdi_catalog/salesItemDetails.do?id=100400")</f>
        <v>https://www.fabsurplus.com/sdi_catalog/salesItemDetails.do?id=100400</v>
      </c>
      <c r="B390" s="8" t="s">
        <v>1109</v>
      </c>
      <c r="C390" s="8" t="s">
        <v>97</v>
      </c>
      <c r="D390" s="8" t="s">
        <v>1110</v>
      </c>
      <c r="E390" s="8" t="s">
        <v>887</v>
      </c>
      <c r="F390" s="8" t="s">
        <v>16</v>
      </c>
      <c r="G390" s="8" t="s">
        <v>263</v>
      </c>
      <c r="H390" s="8"/>
      <c r="I390" s="8"/>
      <c r="J390" s="8" t="s">
        <v>312</v>
      </c>
      <c r="K390" s="8"/>
    </row>
    <row r="391" customFormat="false" ht="12.8" hidden="false" customHeight="false" outlineLevel="0" collapsed="false">
      <c r="A391" s="8" t="str">
        <f aca="false">HYPERLINK("https://www.fabsurplus.com/sdi_catalog/salesItemDetails.do?id=100401")</f>
        <v>https://www.fabsurplus.com/sdi_catalog/salesItemDetails.do?id=100401</v>
      </c>
      <c r="B391" s="8" t="s">
        <v>1111</v>
      </c>
      <c r="C391" s="8" t="s">
        <v>97</v>
      </c>
      <c r="D391" s="8" t="s">
        <v>1112</v>
      </c>
      <c r="E391" s="8" t="s">
        <v>887</v>
      </c>
      <c r="F391" s="8" t="s">
        <v>16</v>
      </c>
      <c r="G391" s="8" t="s">
        <v>263</v>
      </c>
      <c r="H391" s="8"/>
      <c r="I391" s="8"/>
      <c r="J391" s="8" t="s">
        <v>312</v>
      </c>
      <c r="K391" s="8"/>
    </row>
    <row r="392" customFormat="false" ht="12.8" hidden="false" customHeight="false" outlineLevel="0" collapsed="false">
      <c r="A392" s="8" t="str">
        <f aca="false">HYPERLINK("https://www.fabsurplus.com/sdi_catalog/salesItemDetails.do?id=100421")</f>
        <v>https://www.fabsurplus.com/sdi_catalog/salesItemDetails.do?id=100421</v>
      </c>
      <c r="B392" s="8" t="s">
        <v>1113</v>
      </c>
      <c r="C392" s="8" t="s">
        <v>97</v>
      </c>
      <c r="D392" s="8" t="s">
        <v>1114</v>
      </c>
      <c r="E392" s="8" t="s">
        <v>936</v>
      </c>
      <c r="F392" s="8" t="s">
        <v>1115</v>
      </c>
      <c r="G392" s="8" t="s">
        <v>263</v>
      </c>
      <c r="H392" s="8"/>
      <c r="I392" s="8"/>
      <c r="J392" s="8" t="s">
        <v>312</v>
      </c>
      <c r="K392" s="8"/>
    </row>
    <row r="393" customFormat="false" ht="12.8" hidden="false" customHeight="false" outlineLevel="0" collapsed="false">
      <c r="A393" s="8" t="str">
        <f aca="false">HYPERLINK("https://www.fabsurplus.com/sdi_catalog/salesItemDetails.do?id=100422")</f>
        <v>https://www.fabsurplus.com/sdi_catalog/salesItemDetails.do?id=100422</v>
      </c>
      <c r="B393" s="8" t="s">
        <v>1116</v>
      </c>
      <c r="C393" s="8" t="s">
        <v>97</v>
      </c>
      <c r="D393" s="8" t="s">
        <v>1117</v>
      </c>
      <c r="E393" s="8" t="s">
        <v>936</v>
      </c>
      <c r="F393" s="8" t="s">
        <v>16</v>
      </c>
      <c r="G393" s="8" t="s">
        <v>263</v>
      </c>
      <c r="H393" s="8"/>
      <c r="I393" s="8"/>
      <c r="J393" s="8" t="s">
        <v>312</v>
      </c>
      <c r="K393" s="8"/>
    </row>
    <row r="394" customFormat="false" ht="12.8" hidden="false" customHeight="false" outlineLevel="0" collapsed="false">
      <c r="A394" s="8" t="str">
        <f aca="false">HYPERLINK("https://www.fabsurplus.com/sdi_catalog/salesItemDetails.do?id=100460")</f>
        <v>https://www.fabsurplus.com/sdi_catalog/salesItemDetails.do?id=100460</v>
      </c>
      <c r="B394" s="8" t="s">
        <v>1118</v>
      </c>
      <c r="C394" s="8" t="s">
        <v>97</v>
      </c>
      <c r="D394" s="8" t="s">
        <v>1119</v>
      </c>
      <c r="E394" s="8" t="s">
        <v>955</v>
      </c>
      <c r="F394" s="8" t="s">
        <v>742</v>
      </c>
      <c r="G394" s="8" t="s">
        <v>263</v>
      </c>
      <c r="H394" s="8"/>
      <c r="I394" s="8"/>
      <c r="J394" s="8" t="s">
        <v>312</v>
      </c>
      <c r="K394" s="8"/>
    </row>
    <row r="395" customFormat="false" ht="12.8" hidden="false" customHeight="false" outlineLevel="0" collapsed="false">
      <c r="A395" s="8" t="str">
        <f aca="false">HYPERLINK("https://www.fabsurplus.com/sdi_catalog/salesItemDetails.do?id=100423")</f>
        <v>https://www.fabsurplus.com/sdi_catalog/salesItemDetails.do?id=100423</v>
      </c>
      <c r="B395" s="8" t="s">
        <v>1120</v>
      </c>
      <c r="C395" s="8" t="s">
        <v>97</v>
      </c>
      <c r="D395" s="8" t="s">
        <v>1121</v>
      </c>
      <c r="E395" s="8" t="s">
        <v>936</v>
      </c>
      <c r="F395" s="8" t="s">
        <v>245</v>
      </c>
      <c r="G395" s="8" t="s">
        <v>263</v>
      </c>
      <c r="H395" s="8"/>
      <c r="I395" s="8"/>
      <c r="J395" s="8" t="s">
        <v>312</v>
      </c>
      <c r="K395" s="8"/>
    </row>
    <row r="396" customFormat="false" ht="12.8" hidden="false" customHeight="false" outlineLevel="0" collapsed="false">
      <c r="A396" s="6" t="str">
        <f aca="false">HYPERLINK("https://www.fabsurplus.com/sdi_catalog/salesItemDetails.do?id=100424")</f>
        <v>https://www.fabsurplus.com/sdi_catalog/salesItemDetails.do?id=100424</v>
      </c>
      <c r="B396" s="6" t="s">
        <v>1122</v>
      </c>
      <c r="C396" s="6" t="s">
        <v>97</v>
      </c>
      <c r="D396" s="6" t="s">
        <v>1123</v>
      </c>
      <c r="E396" s="6" t="s">
        <v>936</v>
      </c>
      <c r="F396" s="6" t="s">
        <v>673</v>
      </c>
      <c r="G396" s="6" t="s">
        <v>263</v>
      </c>
      <c r="H396" s="6"/>
      <c r="I396" s="6"/>
      <c r="J396" s="6" t="s">
        <v>312</v>
      </c>
      <c r="K396" s="6"/>
    </row>
    <row r="397" customFormat="false" ht="12.8" hidden="false" customHeight="false" outlineLevel="0" collapsed="false">
      <c r="A397" s="8" t="str">
        <f aca="false">HYPERLINK("https://www.fabsurplus.com/sdi_catalog/salesItemDetails.do?id=100563")</f>
        <v>https://www.fabsurplus.com/sdi_catalog/salesItemDetails.do?id=100563</v>
      </c>
      <c r="B397" s="8" t="s">
        <v>1124</v>
      </c>
      <c r="C397" s="8" t="s">
        <v>97</v>
      </c>
      <c r="D397" s="8" t="s">
        <v>1125</v>
      </c>
      <c r="E397" s="8" t="s">
        <v>900</v>
      </c>
      <c r="F397" s="8" t="s">
        <v>245</v>
      </c>
      <c r="G397" s="8" t="s">
        <v>263</v>
      </c>
      <c r="H397" s="8"/>
      <c r="I397" s="8"/>
      <c r="J397" s="8" t="s">
        <v>312</v>
      </c>
      <c r="K397" s="8"/>
    </row>
    <row r="398" customFormat="false" ht="12.8" hidden="false" customHeight="false" outlineLevel="0" collapsed="false">
      <c r="A398" s="8" t="str">
        <f aca="false">HYPERLINK("https://www.fabsurplus.com/sdi_catalog/salesItemDetails.do?id=100425")</f>
        <v>https://www.fabsurplus.com/sdi_catalog/salesItemDetails.do?id=100425</v>
      </c>
      <c r="B398" s="8" t="s">
        <v>1126</v>
      </c>
      <c r="C398" s="8" t="s">
        <v>97</v>
      </c>
      <c r="D398" s="8" t="s">
        <v>1127</v>
      </c>
      <c r="E398" s="8" t="s">
        <v>936</v>
      </c>
      <c r="F398" s="8" t="s">
        <v>1128</v>
      </c>
      <c r="G398" s="8" t="s">
        <v>263</v>
      </c>
      <c r="H398" s="8"/>
      <c r="I398" s="8"/>
      <c r="J398" s="8" t="s">
        <v>312</v>
      </c>
      <c r="K398" s="8"/>
    </row>
    <row r="399" customFormat="false" ht="12.8" hidden="false" customHeight="false" outlineLevel="0" collapsed="false">
      <c r="A399" s="8" t="str">
        <f aca="false">HYPERLINK("https://www.fabsurplus.com/sdi_catalog/salesItemDetails.do?id=100461")</f>
        <v>https://www.fabsurplus.com/sdi_catalog/salesItemDetails.do?id=100461</v>
      </c>
      <c r="B399" s="8" t="s">
        <v>1129</v>
      </c>
      <c r="C399" s="8" t="s">
        <v>97</v>
      </c>
      <c r="D399" s="8" t="s">
        <v>1130</v>
      </c>
      <c r="E399" s="8" t="s">
        <v>955</v>
      </c>
      <c r="F399" s="8" t="s">
        <v>913</v>
      </c>
      <c r="G399" s="8" t="s">
        <v>263</v>
      </c>
      <c r="H399" s="8"/>
      <c r="I399" s="8"/>
      <c r="J399" s="8" t="s">
        <v>312</v>
      </c>
      <c r="K399" s="8"/>
    </row>
    <row r="400" customFormat="false" ht="12.8" hidden="false" customHeight="false" outlineLevel="0" collapsed="false">
      <c r="A400" s="6" t="str">
        <f aca="false">HYPERLINK("https://www.fabsurplus.com/sdi_catalog/salesItemDetails.do?id=100426")</f>
        <v>https://www.fabsurplus.com/sdi_catalog/salesItemDetails.do?id=100426</v>
      </c>
      <c r="B400" s="6" t="s">
        <v>1131</v>
      </c>
      <c r="C400" s="6" t="s">
        <v>97</v>
      </c>
      <c r="D400" s="6" t="s">
        <v>1132</v>
      </c>
      <c r="E400" s="6" t="s">
        <v>936</v>
      </c>
      <c r="F400" s="6" t="s">
        <v>1002</v>
      </c>
      <c r="G400" s="6" t="s">
        <v>263</v>
      </c>
      <c r="H400" s="6"/>
      <c r="I400" s="6"/>
      <c r="J400" s="6" t="s">
        <v>312</v>
      </c>
      <c r="K400" s="6"/>
    </row>
    <row r="401" customFormat="false" ht="12.8" hidden="false" customHeight="false" outlineLevel="0" collapsed="false">
      <c r="A401" s="8" t="str">
        <f aca="false">HYPERLINK("https://www.fabsurplus.com/sdi_catalog/salesItemDetails.do?id=100564")</f>
        <v>https://www.fabsurplus.com/sdi_catalog/salesItemDetails.do?id=100564</v>
      </c>
      <c r="B401" s="8" t="s">
        <v>1133</v>
      </c>
      <c r="C401" s="8" t="s">
        <v>97</v>
      </c>
      <c r="D401" s="8" t="s">
        <v>1134</v>
      </c>
      <c r="E401" s="8" t="s">
        <v>900</v>
      </c>
      <c r="F401" s="8" t="s">
        <v>745</v>
      </c>
      <c r="G401" s="8" t="s">
        <v>263</v>
      </c>
      <c r="H401" s="8"/>
      <c r="I401" s="8"/>
      <c r="J401" s="8" t="s">
        <v>312</v>
      </c>
      <c r="K401" s="8"/>
    </row>
    <row r="402" customFormat="false" ht="12.8" hidden="false" customHeight="false" outlineLevel="0" collapsed="false">
      <c r="A402" s="8" t="str">
        <f aca="false">HYPERLINK("https://www.fabsurplus.com/sdi_catalog/salesItemDetails.do?id=100565")</f>
        <v>https://www.fabsurplus.com/sdi_catalog/salesItemDetails.do?id=100565</v>
      </c>
      <c r="B402" s="8" t="s">
        <v>1135</v>
      </c>
      <c r="C402" s="8" t="s">
        <v>97</v>
      </c>
      <c r="D402" s="8" t="s">
        <v>1136</v>
      </c>
      <c r="E402" s="8" t="s">
        <v>900</v>
      </c>
      <c r="F402" s="8" t="s">
        <v>913</v>
      </c>
      <c r="G402" s="8" t="s">
        <v>263</v>
      </c>
      <c r="H402" s="8"/>
      <c r="I402" s="8"/>
      <c r="J402" s="8" t="s">
        <v>312</v>
      </c>
      <c r="K402" s="8"/>
    </row>
    <row r="403" customFormat="false" ht="12.8" hidden="false" customHeight="false" outlineLevel="0" collapsed="false">
      <c r="A403" s="6" t="str">
        <f aca="false">HYPERLINK("https://www.fabsurplus.com/sdi_catalog/salesItemDetails.do?id=100427")</f>
        <v>https://www.fabsurplus.com/sdi_catalog/salesItemDetails.do?id=100427</v>
      </c>
      <c r="B403" s="6" t="s">
        <v>1137</v>
      </c>
      <c r="C403" s="6" t="s">
        <v>97</v>
      </c>
      <c r="D403" s="6" t="s">
        <v>1138</v>
      </c>
      <c r="E403" s="6" t="s">
        <v>936</v>
      </c>
      <c r="F403" s="6" t="s">
        <v>1019</v>
      </c>
      <c r="G403" s="6" t="s">
        <v>263</v>
      </c>
      <c r="H403" s="6"/>
      <c r="I403" s="6"/>
      <c r="J403" s="6" t="s">
        <v>312</v>
      </c>
      <c r="K403" s="6"/>
    </row>
    <row r="404" customFormat="false" ht="12.8" hidden="false" customHeight="false" outlineLevel="0" collapsed="false">
      <c r="A404" s="8" t="str">
        <f aca="false">HYPERLINK("https://www.fabsurplus.com/sdi_catalog/salesItemDetails.do?id=100463")</f>
        <v>https://www.fabsurplus.com/sdi_catalog/salesItemDetails.do?id=100463</v>
      </c>
      <c r="B404" s="8" t="s">
        <v>1139</v>
      </c>
      <c r="C404" s="8" t="s">
        <v>97</v>
      </c>
      <c r="D404" s="8" t="s">
        <v>1140</v>
      </c>
      <c r="E404" s="8" t="s">
        <v>955</v>
      </c>
      <c r="F404" s="8" t="s">
        <v>16</v>
      </c>
      <c r="G404" s="8" t="s">
        <v>263</v>
      </c>
      <c r="H404" s="8"/>
      <c r="I404" s="8"/>
      <c r="J404" s="8" t="s">
        <v>312</v>
      </c>
      <c r="K404" s="8"/>
    </row>
    <row r="405" customFormat="false" ht="12.8" hidden="false" customHeight="false" outlineLevel="0" collapsed="false">
      <c r="A405" s="6" t="str">
        <f aca="false">HYPERLINK("https://www.fabsurplus.com/sdi_catalog/salesItemDetails.do?id=100462")</f>
        <v>https://www.fabsurplus.com/sdi_catalog/salesItemDetails.do?id=100462</v>
      </c>
      <c r="B405" s="6" t="s">
        <v>1141</v>
      </c>
      <c r="C405" s="6" t="s">
        <v>97</v>
      </c>
      <c r="D405" s="6" t="s">
        <v>1140</v>
      </c>
      <c r="E405" s="6" t="s">
        <v>955</v>
      </c>
      <c r="F405" s="6" t="s">
        <v>211</v>
      </c>
      <c r="G405" s="6" t="s">
        <v>263</v>
      </c>
      <c r="H405" s="6"/>
      <c r="I405" s="6"/>
      <c r="J405" s="6" t="s">
        <v>312</v>
      </c>
      <c r="K405" s="6"/>
    </row>
    <row r="406" customFormat="false" ht="12.8" hidden="false" customHeight="false" outlineLevel="0" collapsed="false">
      <c r="A406" s="6" t="str">
        <f aca="false">HYPERLINK("https://www.fabsurplus.com/sdi_catalog/salesItemDetails.do?id=100464")</f>
        <v>https://www.fabsurplus.com/sdi_catalog/salesItemDetails.do?id=100464</v>
      </c>
      <c r="B406" s="6" t="s">
        <v>1142</v>
      </c>
      <c r="C406" s="6" t="s">
        <v>97</v>
      </c>
      <c r="D406" s="6" t="s">
        <v>1143</v>
      </c>
      <c r="E406" s="6" t="s">
        <v>955</v>
      </c>
      <c r="F406" s="6" t="s">
        <v>626</v>
      </c>
      <c r="G406" s="6" t="s">
        <v>263</v>
      </c>
      <c r="H406" s="6"/>
      <c r="I406" s="6"/>
      <c r="J406" s="6" t="s">
        <v>312</v>
      </c>
      <c r="K406" s="6"/>
    </row>
    <row r="407" customFormat="false" ht="12.8" hidden="false" customHeight="false" outlineLevel="0" collapsed="false">
      <c r="A407" s="6" t="str">
        <f aca="false">HYPERLINK("https://www.fabsurplus.com/sdi_catalog/salesItemDetails.do?id=100428")</f>
        <v>https://www.fabsurplus.com/sdi_catalog/salesItemDetails.do?id=100428</v>
      </c>
      <c r="B407" s="6" t="s">
        <v>1144</v>
      </c>
      <c r="C407" s="6" t="s">
        <v>97</v>
      </c>
      <c r="D407" s="6" t="s">
        <v>1145</v>
      </c>
      <c r="E407" s="6" t="s">
        <v>936</v>
      </c>
      <c r="F407" s="6" t="s">
        <v>16</v>
      </c>
      <c r="G407" s="6" t="s">
        <v>263</v>
      </c>
      <c r="H407" s="6"/>
      <c r="I407" s="6"/>
      <c r="J407" s="6" t="s">
        <v>312</v>
      </c>
      <c r="K407" s="6"/>
    </row>
    <row r="408" customFormat="false" ht="12.8" hidden="false" customHeight="false" outlineLevel="0" collapsed="false">
      <c r="A408" s="6" t="str">
        <f aca="false">HYPERLINK("https://www.fabsurplus.com/sdi_catalog/salesItemDetails.do?id=100429")</f>
        <v>https://www.fabsurplus.com/sdi_catalog/salesItemDetails.do?id=100429</v>
      </c>
      <c r="B408" s="6" t="s">
        <v>1146</v>
      </c>
      <c r="C408" s="6" t="s">
        <v>97</v>
      </c>
      <c r="D408" s="6" t="s">
        <v>1147</v>
      </c>
      <c r="E408" s="6" t="s">
        <v>936</v>
      </c>
      <c r="F408" s="6" t="s">
        <v>16</v>
      </c>
      <c r="G408" s="6" t="s">
        <v>263</v>
      </c>
      <c r="H408" s="6"/>
      <c r="I408" s="6"/>
      <c r="J408" s="6" t="s">
        <v>312</v>
      </c>
      <c r="K408" s="6"/>
    </row>
    <row r="409" customFormat="false" ht="12.8" hidden="false" customHeight="false" outlineLevel="0" collapsed="false">
      <c r="A409" s="6" t="str">
        <f aca="false">HYPERLINK("https://www.fabsurplus.com/sdi_catalog/salesItemDetails.do?id=100430")</f>
        <v>https://www.fabsurplus.com/sdi_catalog/salesItemDetails.do?id=100430</v>
      </c>
      <c r="B409" s="6" t="s">
        <v>1148</v>
      </c>
      <c r="C409" s="6" t="s">
        <v>97</v>
      </c>
      <c r="D409" s="6" t="s">
        <v>1149</v>
      </c>
      <c r="E409" s="6" t="s">
        <v>936</v>
      </c>
      <c r="F409" s="6" t="s">
        <v>16</v>
      </c>
      <c r="G409" s="6" t="s">
        <v>263</v>
      </c>
      <c r="H409" s="6"/>
      <c r="I409" s="6"/>
      <c r="J409" s="6" t="s">
        <v>312</v>
      </c>
      <c r="K409" s="6"/>
    </row>
    <row r="410" customFormat="false" ht="12.8" hidden="false" customHeight="false" outlineLevel="0" collapsed="false">
      <c r="A410" s="8" t="str">
        <f aca="false">HYPERLINK("https://www.fabsurplus.com/sdi_catalog/salesItemDetails.do?id=100566")</f>
        <v>https://www.fabsurplus.com/sdi_catalog/salesItemDetails.do?id=100566</v>
      </c>
      <c r="B410" s="8" t="s">
        <v>1150</v>
      </c>
      <c r="C410" s="8" t="s">
        <v>97</v>
      </c>
      <c r="D410" s="8" t="s">
        <v>1151</v>
      </c>
      <c r="E410" s="8" t="s">
        <v>900</v>
      </c>
      <c r="F410" s="8" t="s">
        <v>245</v>
      </c>
      <c r="G410" s="8" t="s">
        <v>263</v>
      </c>
      <c r="H410" s="8"/>
      <c r="I410" s="8"/>
      <c r="J410" s="8" t="s">
        <v>312</v>
      </c>
      <c r="K410" s="8"/>
    </row>
    <row r="411" customFormat="false" ht="12.8" hidden="false" customHeight="false" outlineLevel="0" collapsed="false">
      <c r="A411" s="6" t="str">
        <f aca="false">HYPERLINK("https://www.fabsurplus.com/sdi_catalog/salesItemDetails.do?id=100431")</f>
        <v>https://www.fabsurplus.com/sdi_catalog/salesItemDetails.do?id=100431</v>
      </c>
      <c r="B411" s="6" t="s">
        <v>1152</v>
      </c>
      <c r="C411" s="6" t="s">
        <v>97</v>
      </c>
      <c r="D411" s="6" t="s">
        <v>1153</v>
      </c>
      <c r="E411" s="6" t="s">
        <v>936</v>
      </c>
      <c r="F411" s="6" t="s">
        <v>967</v>
      </c>
      <c r="G411" s="6" t="s">
        <v>263</v>
      </c>
      <c r="H411" s="6"/>
      <c r="I411" s="6"/>
      <c r="J411" s="6" t="s">
        <v>312</v>
      </c>
      <c r="K411" s="6"/>
    </row>
    <row r="412" customFormat="false" ht="12.8" hidden="false" customHeight="false" outlineLevel="0" collapsed="false">
      <c r="A412" s="8" t="str">
        <f aca="false">HYPERLINK("https://www.fabsurplus.com/sdi_catalog/salesItemDetails.do?id=100465")</f>
        <v>https://www.fabsurplus.com/sdi_catalog/salesItemDetails.do?id=100465</v>
      </c>
      <c r="B412" s="8" t="s">
        <v>1154</v>
      </c>
      <c r="C412" s="8" t="s">
        <v>97</v>
      </c>
      <c r="D412" s="8" t="s">
        <v>1155</v>
      </c>
      <c r="E412" s="8" t="s">
        <v>955</v>
      </c>
      <c r="F412" s="8" t="s">
        <v>745</v>
      </c>
      <c r="G412" s="8" t="s">
        <v>263</v>
      </c>
      <c r="H412" s="8"/>
      <c r="I412" s="8"/>
      <c r="J412" s="8" t="s">
        <v>312</v>
      </c>
      <c r="K412" s="8"/>
    </row>
    <row r="413" customFormat="false" ht="12.8" hidden="false" customHeight="false" outlineLevel="0" collapsed="false">
      <c r="A413" s="8" t="str">
        <f aca="false">HYPERLINK("https://www.fabsurplus.com/sdi_catalog/salesItemDetails.do?id=100441")</f>
        <v>https://www.fabsurplus.com/sdi_catalog/salesItemDetails.do?id=100441</v>
      </c>
      <c r="B413" s="8" t="s">
        <v>1156</v>
      </c>
      <c r="C413" s="8" t="s">
        <v>97</v>
      </c>
      <c r="D413" s="8" t="s">
        <v>1157</v>
      </c>
      <c r="E413" s="8" t="s">
        <v>1158</v>
      </c>
      <c r="F413" s="8" t="s">
        <v>16</v>
      </c>
      <c r="G413" s="8" t="s">
        <v>263</v>
      </c>
      <c r="H413" s="8"/>
      <c r="I413" s="8"/>
      <c r="J413" s="8" t="s">
        <v>312</v>
      </c>
      <c r="K413" s="8"/>
    </row>
    <row r="414" customFormat="false" ht="12.8" hidden="false" customHeight="false" outlineLevel="0" collapsed="false">
      <c r="A414" s="6" t="str">
        <f aca="false">HYPERLINK("https://www.fabsurplus.com/sdi_catalog/salesItemDetails.do?id=100567")</f>
        <v>https://www.fabsurplus.com/sdi_catalog/salesItemDetails.do?id=100567</v>
      </c>
      <c r="B414" s="6" t="s">
        <v>1159</v>
      </c>
      <c r="C414" s="6" t="s">
        <v>97</v>
      </c>
      <c r="D414" s="6" t="s">
        <v>1160</v>
      </c>
      <c r="E414" s="6" t="s">
        <v>900</v>
      </c>
      <c r="F414" s="6" t="s">
        <v>913</v>
      </c>
      <c r="G414" s="6" t="s">
        <v>263</v>
      </c>
      <c r="H414" s="6"/>
      <c r="I414" s="6"/>
      <c r="J414" s="6" t="s">
        <v>312</v>
      </c>
      <c r="K414" s="6"/>
    </row>
    <row r="415" customFormat="false" ht="12.8" hidden="false" customHeight="false" outlineLevel="0" collapsed="false">
      <c r="A415" s="8" t="str">
        <f aca="false">HYPERLINK("https://www.fabsurplus.com/sdi_catalog/salesItemDetails.do?id=100568")</f>
        <v>https://www.fabsurplus.com/sdi_catalog/salesItemDetails.do?id=100568</v>
      </c>
      <c r="B415" s="8" t="s">
        <v>1161</v>
      </c>
      <c r="C415" s="8" t="s">
        <v>97</v>
      </c>
      <c r="D415" s="8" t="s">
        <v>1162</v>
      </c>
      <c r="E415" s="8" t="s">
        <v>1163</v>
      </c>
      <c r="F415" s="8" t="s">
        <v>245</v>
      </c>
      <c r="G415" s="8" t="s">
        <v>263</v>
      </c>
      <c r="H415" s="8"/>
      <c r="I415" s="8"/>
      <c r="J415" s="8" t="s">
        <v>312</v>
      </c>
      <c r="K415" s="8"/>
    </row>
    <row r="416" customFormat="false" ht="12.8" hidden="false" customHeight="false" outlineLevel="0" collapsed="false">
      <c r="A416" s="8" t="str">
        <f aca="false">HYPERLINK("https://www.fabsurplus.com/sdi_catalog/salesItemDetails.do?id=100447")</f>
        <v>https://www.fabsurplus.com/sdi_catalog/salesItemDetails.do?id=100447</v>
      </c>
      <c r="B416" s="8" t="s">
        <v>1164</v>
      </c>
      <c r="C416" s="8" t="s">
        <v>97</v>
      </c>
      <c r="D416" s="8" t="s">
        <v>1165</v>
      </c>
      <c r="E416" s="8" t="s">
        <v>1005</v>
      </c>
      <c r="F416" s="8" t="s">
        <v>16</v>
      </c>
      <c r="G416" s="8" t="s">
        <v>263</v>
      </c>
      <c r="H416" s="8"/>
      <c r="I416" s="8"/>
      <c r="J416" s="8" t="s">
        <v>312</v>
      </c>
      <c r="K416" s="8"/>
    </row>
    <row r="417" customFormat="false" ht="12.8" hidden="false" customHeight="false" outlineLevel="0" collapsed="false">
      <c r="A417" s="8" t="str">
        <f aca="false">HYPERLINK("https://www.fabsurplus.com/sdi_catalog/salesItemDetails.do?id=100569")</f>
        <v>https://www.fabsurplus.com/sdi_catalog/salesItemDetails.do?id=100569</v>
      </c>
      <c r="B417" s="8" t="s">
        <v>1166</v>
      </c>
      <c r="C417" s="8" t="s">
        <v>97</v>
      </c>
      <c r="D417" s="8" t="s">
        <v>1167</v>
      </c>
      <c r="E417" s="8" t="s">
        <v>900</v>
      </c>
      <c r="F417" s="8" t="s">
        <v>742</v>
      </c>
      <c r="G417" s="8" t="s">
        <v>263</v>
      </c>
      <c r="H417" s="8"/>
      <c r="I417" s="8"/>
      <c r="J417" s="8" t="s">
        <v>312</v>
      </c>
      <c r="K417" s="8"/>
    </row>
    <row r="418" customFormat="false" ht="12.8" hidden="false" customHeight="false" outlineLevel="0" collapsed="false">
      <c r="A418" s="6" t="str">
        <f aca="false">HYPERLINK("https://www.fabsurplus.com/sdi_catalog/salesItemDetails.do?id=100570")</f>
        <v>https://www.fabsurplus.com/sdi_catalog/salesItemDetails.do?id=100570</v>
      </c>
      <c r="B418" s="6" t="s">
        <v>1168</v>
      </c>
      <c r="C418" s="6" t="s">
        <v>97</v>
      </c>
      <c r="D418" s="6" t="s">
        <v>1169</v>
      </c>
      <c r="E418" s="6" t="s">
        <v>900</v>
      </c>
      <c r="F418" s="6" t="s">
        <v>745</v>
      </c>
      <c r="G418" s="6" t="s">
        <v>263</v>
      </c>
      <c r="H418" s="6"/>
      <c r="I418" s="6"/>
      <c r="J418" s="6" t="s">
        <v>312</v>
      </c>
      <c r="K418" s="6"/>
    </row>
    <row r="419" customFormat="false" ht="12.8" hidden="false" customHeight="false" outlineLevel="0" collapsed="false">
      <c r="A419" s="6" t="str">
        <f aca="false">HYPERLINK("https://www.fabsurplus.com/sdi_catalog/salesItemDetails.do?id=100571")</f>
        <v>https://www.fabsurplus.com/sdi_catalog/salesItemDetails.do?id=100571</v>
      </c>
      <c r="B419" s="6" t="s">
        <v>1170</v>
      </c>
      <c r="C419" s="6" t="s">
        <v>97</v>
      </c>
      <c r="D419" s="6" t="s">
        <v>1171</v>
      </c>
      <c r="E419" s="6" t="s">
        <v>900</v>
      </c>
      <c r="F419" s="6" t="s">
        <v>745</v>
      </c>
      <c r="G419" s="6" t="s">
        <v>263</v>
      </c>
      <c r="H419" s="6"/>
      <c r="I419" s="6"/>
      <c r="J419" s="6" t="s">
        <v>312</v>
      </c>
      <c r="K419" s="6"/>
    </row>
    <row r="420" customFormat="false" ht="12.8" hidden="false" customHeight="false" outlineLevel="0" collapsed="false">
      <c r="A420" s="8" t="str">
        <f aca="false">HYPERLINK("https://www.fabsurplus.com/sdi_catalog/salesItemDetails.do?id=100572")</f>
        <v>https://www.fabsurplus.com/sdi_catalog/salesItemDetails.do?id=100572</v>
      </c>
      <c r="B420" s="8" t="s">
        <v>1172</v>
      </c>
      <c r="C420" s="8" t="s">
        <v>97</v>
      </c>
      <c r="D420" s="8" t="s">
        <v>1173</v>
      </c>
      <c r="E420" s="8" t="s">
        <v>900</v>
      </c>
      <c r="F420" s="8" t="s">
        <v>626</v>
      </c>
      <c r="G420" s="8" t="s">
        <v>263</v>
      </c>
      <c r="H420" s="8"/>
      <c r="I420" s="8"/>
      <c r="J420" s="8" t="s">
        <v>312</v>
      </c>
      <c r="K420" s="8"/>
    </row>
    <row r="421" customFormat="false" ht="12.8" hidden="false" customHeight="false" outlineLevel="0" collapsed="false">
      <c r="A421" s="6" t="str">
        <f aca="false">HYPERLINK("https://www.fabsurplus.com/sdi_catalog/salesItemDetails.do?id=100573")</f>
        <v>https://www.fabsurplus.com/sdi_catalog/salesItemDetails.do?id=100573</v>
      </c>
      <c r="B421" s="6" t="s">
        <v>1174</v>
      </c>
      <c r="C421" s="6" t="s">
        <v>97</v>
      </c>
      <c r="D421" s="6" t="s">
        <v>1175</v>
      </c>
      <c r="E421" s="6" t="s">
        <v>900</v>
      </c>
      <c r="F421" s="6" t="s">
        <v>673</v>
      </c>
      <c r="G421" s="6" t="s">
        <v>263</v>
      </c>
      <c r="H421" s="6"/>
      <c r="I421" s="6"/>
      <c r="J421" s="6" t="s">
        <v>312</v>
      </c>
      <c r="K421" s="6"/>
    </row>
    <row r="422" customFormat="false" ht="12.8" hidden="false" customHeight="false" outlineLevel="0" collapsed="false">
      <c r="A422" s="8" t="str">
        <f aca="false">HYPERLINK("https://www.fabsurplus.com/sdi_catalog/salesItemDetails.do?id=100432")</f>
        <v>https://www.fabsurplus.com/sdi_catalog/salesItemDetails.do?id=100432</v>
      </c>
      <c r="B422" s="8" t="s">
        <v>1176</v>
      </c>
      <c r="C422" s="8" t="s">
        <v>97</v>
      </c>
      <c r="D422" s="8" t="s">
        <v>1177</v>
      </c>
      <c r="E422" s="8" t="s">
        <v>936</v>
      </c>
      <c r="F422" s="8" t="s">
        <v>673</v>
      </c>
      <c r="G422" s="8" t="s">
        <v>263</v>
      </c>
      <c r="H422" s="8"/>
      <c r="I422" s="8"/>
      <c r="J422" s="8" t="s">
        <v>312</v>
      </c>
      <c r="K422" s="8"/>
    </row>
    <row r="423" customFormat="false" ht="12.8" hidden="false" customHeight="false" outlineLevel="0" collapsed="false">
      <c r="A423" s="8" t="str">
        <f aca="false">HYPERLINK("https://www.fabsurplus.com/sdi_catalog/salesItemDetails.do?id=100433")</f>
        <v>https://www.fabsurplus.com/sdi_catalog/salesItemDetails.do?id=100433</v>
      </c>
      <c r="B423" s="8" t="s">
        <v>1178</v>
      </c>
      <c r="C423" s="8" t="s">
        <v>97</v>
      </c>
      <c r="D423" s="8" t="s">
        <v>1179</v>
      </c>
      <c r="E423" s="8" t="s">
        <v>936</v>
      </c>
      <c r="F423" s="8" t="s">
        <v>16</v>
      </c>
      <c r="G423" s="8" t="s">
        <v>263</v>
      </c>
      <c r="H423" s="8"/>
      <c r="I423" s="8"/>
      <c r="J423" s="8" t="s">
        <v>312</v>
      </c>
      <c r="K423" s="8"/>
    </row>
    <row r="424" customFormat="false" ht="12.8" hidden="false" customHeight="false" outlineLevel="0" collapsed="false">
      <c r="A424" s="8" t="str">
        <f aca="false">HYPERLINK("https://www.fabsurplus.com/sdi_catalog/salesItemDetails.do?id=100434")</f>
        <v>https://www.fabsurplus.com/sdi_catalog/salesItemDetails.do?id=100434</v>
      </c>
      <c r="B424" s="8" t="s">
        <v>1180</v>
      </c>
      <c r="C424" s="8" t="s">
        <v>97</v>
      </c>
      <c r="D424" s="8" t="s">
        <v>1181</v>
      </c>
      <c r="E424" s="8" t="s">
        <v>936</v>
      </c>
      <c r="F424" s="8" t="s">
        <v>16</v>
      </c>
      <c r="G424" s="8" t="s">
        <v>263</v>
      </c>
      <c r="H424" s="8"/>
      <c r="I424" s="8"/>
      <c r="J424" s="8" t="s">
        <v>312</v>
      </c>
      <c r="K424" s="8"/>
    </row>
    <row r="425" customFormat="false" ht="12.8" hidden="false" customHeight="false" outlineLevel="0" collapsed="false">
      <c r="A425" s="8" t="str">
        <f aca="false">HYPERLINK("https://www.fabsurplus.com/sdi_catalog/salesItemDetails.do?id=100467")</f>
        <v>https://www.fabsurplus.com/sdi_catalog/salesItemDetails.do?id=100467</v>
      </c>
      <c r="B425" s="8" t="s">
        <v>1182</v>
      </c>
      <c r="C425" s="8" t="s">
        <v>97</v>
      </c>
      <c r="D425" s="8" t="s">
        <v>1183</v>
      </c>
      <c r="E425" s="8" t="s">
        <v>955</v>
      </c>
      <c r="F425" s="8" t="s">
        <v>16</v>
      </c>
      <c r="G425" s="8" t="s">
        <v>263</v>
      </c>
      <c r="H425" s="8"/>
      <c r="I425" s="8"/>
      <c r="J425" s="8" t="s">
        <v>312</v>
      </c>
      <c r="K425" s="8"/>
    </row>
    <row r="426" customFormat="false" ht="12.8" hidden="false" customHeight="false" outlineLevel="0" collapsed="false">
      <c r="A426" s="6" t="str">
        <f aca="false">HYPERLINK("https://www.fabsurplus.com/sdi_catalog/salesItemDetails.do?id=100466")</f>
        <v>https://www.fabsurplus.com/sdi_catalog/salesItemDetails.do?id=100466</v>
      </c>
      <c r="B426" s="6" t="s">
        <v>1184</v>
      </c>
      <c r="C426" s="6" t="s">
        <v>97</v>
      </c>
      <c r="D426" s="6" t="s">
        <v>1183</v>
      </c>
      <c r="E426" s="6" t="s">
        <v>955</v>
      </c>
      <c r="F426" s="6" t="s">
        <v>211</v>
      </c>
      <c r="G426" s="6" t="s">
        <v>263</v>
      </c>
      <c r="H426" s="6"/>
      <c r="I426" s="6"/>
      <c r="J426" s="6" t="s">
        <v>312</v>
      </c>
      <c r="K426" s="6"/>
    </row>
    <row r="427" customFormat="false" ht="12.8" hidden="false" customHeight="false" outlineLevel="0" collapsed="false">
      <c r="A427" s="8" t="str">
        <f aca="false">HYPERLINK("https://www.fabsurplus.com/sdi_catalog/salesItemDetails.do?id=100442")</f>
        <v>https://www.fabsurplus.com/sdi_catalog/salesItemDetails.do?id=100442</v>
      </c>
      <c r="B427" s="8" t="s">
        <v>1185</v>
      </c>
      <c r="C427" s="8" t="s">
        <v>97</v>
      </c>
      <c r="D427" s="8" t="s">
        <v>1186</v>
      </c>
      <c r="E427" s="8" t="s">
        <v>1158</v>
      </c>
      <c r="F427" s="8" t="s">
        <v>611</v>
      </c>
      <c r="G427" s="8" t="s">
        <v>263</v>
      </c>
      <c r="H427" s="8"/>
      <c r="I427" s="8"/>
      <c r="J427" s="8" t="s">
        <v>312</v>
      </c>
      <c r="K427" s="8"/>
    </row>
    <row r="428" customFormat="false" ht="12.8" hidden="false" customHeight="false" outlineLevel="0" collapsed="false">
      <c r="A428" s="6" t="str">
        <f aca="false">HYPERLINK("https://www.fabsurplus.com/sdi_catalog/salesItemDetails.do?id=100468")</f>
        <v>https://www.fabsurplus.com/sdi_catalog/salesItemDetails.do?id=100468</v>
      </c>
      <c r="B428" s="6" t="s">
        <v>1187</v>
      </c>
      <c r="C428" s="6" t="s">
        <v>97</v>
      </c>
      <c r="D428" s="6" t="s">
        <v>1188</v>
      </c>
      <c r="E428" s="6" t="s">
        <v>955</v>
      </c>
      <c r="F428" s="6" t="s">
        <v>742</v>
      </c>
      <c r="G428" s="6" t="s">
        <v>263</v>
      </c>
      <c r="H428" s="6"/>
      <c r="I428" s="6"/>
      <c r="J428" s="6" t="s">
        <v>312</v>
      </c>
      <c r="K428" s="6"/>
    </row>
    <row r="429" customFormat="false" ht="12.8" hidden="false" customHeight="false" outlineLevel="0" collapsed="false">
      <c r="A429" s="8" t="str">
        <f aca="false">HYPERLINK("https://www.fabsurplus.com/sdi_catalog/salesItemDetails.do?id=100448")</f>
        <v>https://www.fabsurplus.com/sdi_catalog/salesItemDetails.do?id=100448</v>
      </c>
      <c r="B429" s="8" t="s">
        <v>1189</v>
      </c>
      <c r="C429" s="8" t="s">
        <v>97</v>
      </c>
      <c r="D429" s="8" t="s">
        <v>1190</v>
      </c>
      <c r="E429" s="8" t="s">
        <v>1005</v>
      </c>
      <c r="F429" s="8" t="s">
        <v>16</v>
      </c>
      <c r="G429" s="8" t="s">
        <v>263</v>
      </c>
      <c r="H429" s="8"/>
      <c r="I429" s="8"/>
      <c r="J429" s="8" t="s">
        <v>312</v>
      </c>
      <c r="K429" s="8"/>
    </row>
    <row r="430" customFormat="false" ht="12.8" hidden="false" customHeight="false" outlineLevel="0" collapsed="false">
      <c r="A430" s="8" t="str">
        <f aca="false">HYPERLINK("https://www.fabsurplus.com/sdi_catalog/salesItemDetails.do?id=100469")</f>
        <v>https://www.fabsurplus.com/sdi_catalog/salesItemDetails.do?id=100469</v>
      </c>
      <c r="B430" s="8" t="s">
        <v>1191</v>
      </c>
      <c r="C430" s="8" t="s">
        <v>97</v>
      </c>
      <c r="D430" s="8" t="s">
        <v>1192</v>
      </c>
      <c r="E430" s="8" t="s">
        <v>955</v>
      </c>
      <c r="F430" s="8" t="s">
        <v>913</v>
      </c>
      <c r="G430" s="8" t="s">
        <v>263</v>
      </c>
      <c r="H430" s="8"/>
      <c r="I430" s="8"/>
      <c r="J430" s="8" t="s">
        <v>312</v>
      </c>
      <c r="K430" s="8"/>
    </row>
    <row r="431" customFormat="false" ht="12.8" hidden="false" customHeight="false" outlineLevel="0" collapsed="false">
      <c r="A431" s="6" t="str">
        <f aca="false">HYPERLINK("https://www.fabsurplus.com/sdi_catalog/salesItemDetails.do?id=100574")</f>
        <v>https://www.fabsurplus.com/sdi_catalog/salesItemDetails.do?id=100574</v>
      </c>
      <c r="B431" s="6" t="s">
        <v>1193</v>
      </c>
      <c r="C431" s="6" t="s">
        <v>97</v>
      </c>
      <c r="D431" s="6" t="s">
        <v>1194</v>
      </c>
      <c r="E431" s="6" t="s">
        <v>900</v>
      </c>
      <c r="F431" s="6" t="s">
        <v>913</v>
      </c>
      <c r="G431" s="6" t="s">
        <v>263</v>
      </c>
      <c r="H431" s="6"/>
      <c r="I431" s="6"/>
      <c r="J431" s="6" t="s">
        <v>312</v>
      </c>
      <c r="K431" s="6"/>
    </row>
    <row r="432" customFormat="false" ht="12.8" hidden="false" customHeight="false" outlineLevel="0" collapsed="false">
      <c r="A432" s="6" t="str">
        <f aca="false">HYPERLINK("https://www.fabsurplus.com/sdi_catalog/salesItemDetails.do?id=100470")</f>
        <v>https://www.fabsurplus.com/sdi_catalog/salesItemDetails.do?id=100470</v>
      </c>
      <c r="B432" s="6" t="s">
        <v>1195</v>
      </c>
      <c r="C432" s="6" t="s">
        <v>97</v>
      </c>
      <c r="D432" s="6" t="s">
        <v>1196</v>
      </c>
      <c r="E432" s="6" t="s">
        <v>955</v>
      </c>
      <c r="F432" s="6" t="s">
        <v>626</v>
      </c>
      <c r="G432" s="6" t="s">
        <v>263</v>
      </c>
      <c r="H432" s="6"/>
      <c r="I432" s="6"/>
      <c r="J432" s="6" t="s">
        <v>312</v>
      </c>
      <c r="K432" s="6"/>
    </row>
    <row r="433" customFormat="false" ht="12.8" hidden="false" customHeight="false" outlineLevel="0" collapsed="false">
      <c r="A433" s="8" t="str">
        <f aca="false">HYPERLINK("https://www.fabsurplus.com/sdi_catalog/salesItemDetails.do?id=100575")</f>
        <v>https://www.fabsurplus.com/sdi_catalog/salesItemDetails.do?id=100575</v>
      </c>
      <c r="B433" s="8" t="s">
        <v>1197</v>
      </c>
      <c r="C433" s="8" t="s">
        <v>97</v>
      </c>
      <c r="D433" s="8" t="s">
        <v>1198</v>
      </c>
      <c r="E433" s="8" t="s">
        <v>900</v>
      </c>
      <c r="F433" s="8" t="s">
        <v>742</v>
      </c>
      <c r="G433" s="8" t="s">
        <v>263</v>
      </c>
      <c r="H433" s="8"/>
      <c r="I433" s="8"/>
      <c r="J433" s="8" t="s">
        <v>312</v>
      </c>
      <c r="K433" s="8"/>
    </row>
    <row r="434" customFormat="false" ht="12.8" hidden="false" customHeight="false" outlineLevel="0" collapsed="false">
      <c r="A434" s="8" t="str">
        <f aca="false">HYPERLINK("https://www.fabsurplus.com/sdi_catalog/salesItemDetails.do?id=100471")</f>
        <v>https://www.fabsurplus.com/sdi_catalog/salesItemDetails.do?id=100471</v>
      </c>
      <c r="B434" s="8" t="s">
        <v>1199</v>
      </c>
      <c r="C434" s="8" t="s">
        <v>97</v>
      </c>
      <c r="D434" s="8" t="s">
        <v>1200</v>
      </c>
      <c r="E434" s="8" t="s">
        <v>955</v>
      </c>
      <c r="F434" s="8" t="s">
        <v>626</v>
      </c>
      <c r="G434" s="8" t="s">
        <v>263</v>
      </c>
      <c r="H434" s="8"/>
      <c r="I434" s="8"/>
      <c r="J434" s="8" t="s">
        <v>312</v>
      </c>
      <c r="K434" s="8"/>
    </row>
    <row r="435" customFormat="false" ht="12.8" hidden="false" customHeight="false" outlineLevel="0" collapsed="false">
      <c r="A435" s="8" t="str">
        <f aca="false">HYPERLINK("https://www.fabsurplus.com/sdi_catalog/salesItemDetails.do?id=100472")</f>
        <v>https://www.fabsurplus.com/sdi_catalog/salesItemDetails.do?id=100472</v>
      </c>
      <c r="B435" s="8" t="s">
        <v>1201</v>
      </c>
      <c r="C435" s="8" t="s">
        <v>97</v>
      </c>
      <c r="D435" s="8" t="s">
        <v>1202</v>
      </c>
      <c r="E435" s="8" t="s">
        <v>955</v>
      </c>
      <c r="F435" s="8" t="s">
        <v>742</v>
      </c>
      <c r="G435" s="8" t="s">
        <v>263</v>
      </c>
      <c r="H435" s="8"/>
      <c r="I435" s="8"/>
      <c r="J435" s="8" t="s">
        <v>312</v>
      </c>
      <c r="K435" s="8"/>
    </row>
    <row r="436" customFormat="false" ht="12.8" hidden="false" customHeight="false" outlineLevel="0" collapsed="false">
      <c r="A436" s="8" t="str">
        <f aca="false">HYPERLINK("https://www.fabsurplus.com/sdi_catalog/salesItemDetails.do?id=100474")</f>
        <v>https://www.fabsurplus.com/sdi_catalog/salesItemDetails.do?id=100474</v>
      </c>
      <c r="B436" s="8" t="s">
        <v>1203</v>
      </c>
      <c r="C436" s="8" t="s">
        <v>97</v>
      </c>
      <c r="D436" s="8" t="s">
        <v>1204</v>
      </c>
      <c r="E436" s="8" t="s">
        <v>955</v>
      </c>
      <c r="F436" s="8" t="s">
        <v>16</v>
      </c>
      <c r="G436" s="8" t="s">
        <v>263</v>
      </c>
      <c r="H436" s="8"/>
      <c r="I436" s="8"/>
      <c r="J436" s="8" t="s">
        <v>312</v>
      </c>
      <c r="K436" s="8"/>
    </row>
    <row r="437" customFormat="false" ht="12.8" hidden="false" customHeight="false" outlineLevel="0" collapsed="false">
      <c r="A437" s="6" t="str">
        <f aca="false">HYPERLINK("https://www.fabsurplus.com/sdi_catalog/salesItemDetails.do?id=100473")</f>
        <v>https://www.fabsurplus.com/sdi_catalog/salesItemDetails.do?id=100473</v>
      </c>
      <c r="B437" s="6" t="s">
        <v>1205</v>
      </c>
      <c r="C437" s="6" t="s">
        <v>97</v>
      </c>
      <c r="D437" s="6" t="s">
        <v>1204</v>
      </c>
      <c r="E437" s="6" t="s">
        <v>955</v>
      </c>
      <c r="F437" s="6" t="s">
        <v>211</v>
      </c>
      <c r="G437" s="6" t="s">
        <v>263</v>
      </c>
      <c r="H437" s="6"/>
      <c r="I437" s="6"/>
      <c r="J437" s="6" t="s">
        <v>312</v>
      </c>
      <c r="K437" s="6"/>
    </row>
    <row r="438" customFormat="false" ht="12.8" hidden="false" customHeight="false" outlineLevel="0" collapsed="false">
      <c r="A438" s="8" t="str">
        <f aca="false">HYPERLINK("https://www.fabsurplus.com/sdi_catalog/salesItemDetails.do?id=100475")</f>
        <v>https://www.fabsurplus.com/sdi_catalog/salesItemDetails.do?id=100475</v>
      </c>
      <c r="B438" s="8" t="s">
        <v>1206</v>
      </c>
      <c r="C438" s="8" t="s">
        <v>97</v>
      </c>
      <c r="D438" s="8" t="s">
        <v>1207</v>
      </c>
      <c r="E438" s="8" t="s">
        <v>955</v>
      </c>
      <c r="F438" s="8" t="s">
        <v>913</v>
      </c>
      <c r="G438" s="8" t="s">
        <v>263</v>
      </c>
      <c r="H438" s="8"/>
      <c r="I438" s="8"/>
      <c r="J438" s="8" t="s">
        <v>312</v>
      </c>
      <c r="K438" s="8"/>
    </row>
    <row r="439" customFormat="false" ht="12.8" hidden="false" customHeight="false" outlineLevel="0" collapsed="false">
      <c r="A439" s="8" t="str">
        <f aca="false">HYPERLINK("https://www.fabsurplus.com/sdi_catalog/salesItemDetails.do?id=100476")</f>
        <v>https://www.fabsurplus.com/sdi_catalog/salesItemDetails.do?id=100476</v>
      </c>
      <c r="B439" s="8" t="s">
        <v>1208</v>
      </c>
      <c r="C439" s="8" t="s">
        <v>97</v>
      </c>
      <c r="D439" s="8" t="s">
        <v>1209</v>
      </c>
      <c r="E439" s="8" t="s">
        <v>955</v>
      </c>
      <c r="F439" s="8" t="s">
        <v>626</v>
      </c>
      <c r="G439" s="8" t="s">
        <v>263</v>
      </c>
      <c r="H439" s="8"/>
      <c r="I439" s="8"/>
      <c r="J439" s="8" t="s">
        <v>312</v>
      </c>
      <c r="K439" s="8"/>
    </row>
    <row r="440" customFormat="false" ht="12.8" hidden="false" customHeight="false" outlineLevel="0" collapsed="false">
      <c r="A440" s="6" t="str">
        <f aca="false">HYPERLINK("https://www.fabsurplus.com/sdi_catalog/salesItemDetails.do?id=100477")</f>
        <v>https://www.fabsurplus.com/sdi_catalog/salesItemDetails.do?id=100477</v>
      </c>
      <c r="B440" s="6" t="s">
        <v>1210</v>
      </c>
      <c r="C440" s="6" t="s">
        <v>97</v>
      </c>
      <c r="D440" s="6" t="s">
        <v>1211</v>
      </c>
      <c r="E440" s="6" t="s">
        <v>955</v>
      </c>
      <c r="F440" s="6" t="s">
        <v>211</v>
      </c>
      <c r="G440" s="6" t="s">
        <v>263</v>
      </c>
      <c r="H440" s="6"/>
      <c r="I440" s="6"/>
      <c r="J440" s="6" t="s">
        <v>312</v>
      </c>
      <c r="K440" s="6"/>
    </row>
    <row r="441" customFormat="false" ht="12.8" hidden="false" customHeight="false" outlineLevel="0" collapsed="false">
      <c r="A441" s="8" t="str">
        <f aca="false">HYPERLINK("https://www.fabsurplus.com/sdi_catalog/salesItemDetails.do?id=100403")</f>
        <v>https://www.fabsurplus.com/sdi_catalog/salesItemDetails.do?id=100403</v>
      </c>
      <c r="B441" s="8" t="s">
        <v>1212</v>
      </c>
      <c r="C441" s="8" t="s">
        <v>97</v>
      </c>
      <c r="D441" s="8" t="s">
        <v>1213</v>
      </c>
      <c r="E441" s="8" t="s">
        <v>1214</v>
      </c>
      <c r="F441" s="8" t="s">
        <v>16</v>
      </c>
      <c r="G441" s="8" t="s">
        <v>263</v>
      </c>
      <c r="H441" s="8"/>
      <c r="I441" s="8"/>
      <c r="J441" s="8" t="s">
        <v>312</v>
      </c>
      <c r="K441" s="8"/>
    </row>
    <row r="442" customFormat="false" ht="12.8" hidden="false" customHeight="false" outlineLevel="0" collapsed="false">
      <c r="A442" s="8" t="str">
        <f aca="false">HYPERLINK("https://www.fabsurplus.com/sdi_catalog/salesItemDetails.do?id=100576")</f>
        <v>https://www.fabsurplus.com/sdi_catalog/salesItemDetails.do?id=100576</v>
      </c>
      <c r="B442" s="8" t="s">
        <v>1215</v>
      </c>
      <c r="C442" s="8" t="s">
        <v>97</v>
      </c>
      <c r="D442" s="8" t="s">
        <v>1216</v>
      </c>
      <c r="E442" s="8" t="s">
        <v>900</v>
      </c>
      <c r="F442" s="8" t="s">
        <v>742</v>
      </c>
      <c r="G442" s="8" t="s">
        <v>263</v>
      </c>
      <c r="H442" s="8"/>
      <c r="I442" s="8"/>
      <c r="J442" s="8" t="s">
        <v>312</v>
      </c>
      <c r="K442" s="8"/>
    </row>
    <row r="443" customFormat="false" ht="12.8" hidden="false" customHeight="false" outlineLevel="0" collapsed="false">
      <c r="A443" s="8" t="str">
        <f aca="false">HYPERLINK("https://www.fabsurplus.com/sdi_catalog/salesItemDetails.do?id=100622")</f>
        <v>https://www.fabsurplus.com/sdi_catalog/salesItemDetails.do?id=100622</v>
      </c>
      <c r="B443" s="8" t="s">
        <v>1217</v>
      </c>
      <c r="C443" s="8" t="s">
        <v>97</v>
      </c>
      <c r="D443" s="8" t="s">
        <v>1218</v>
      </c>
      <c r="E443" s="8" t="s">
        <v>1066</v>
      </c>
      <c r="F443" s="8" t="s">
        <v>913</v>
      </c>
      <c r="G443" s="8" t="s">
        <v>263</v>
      </c>
      <c r="H443" s="8"/>
      <c r="I443" s="8"/>
      <c r="J443" s="8" t="s">
        <v>312</v>
      </c>
      <c r="K443" s="8"/>
    </row>
    <row r="444" customFormat="false" ht="12.8" hidden="false" customHeight="false" outlineLevel="0" collapsed="false">
      <c r="A444" s="6" t="str">
        <f aca="false">HYPERLINK("https://www.fabsurplus.com/sdi_catalog/salesItemDetails.do?id=100623")</f>
        <v>https://www.fabsurplus.com/sdi_catalog/salesItemDetails.do?id=100623</v>
      </c>
      <c r="B444" s="6" t="s">
        <v>1219</v>
      </c>
      <c r="C444" s="6" t="s">
        <v>97</v>
      </c>
      <c r="D444" s="6" t="s">
        <v>1220</v>
      </c>
      <c r="E444" s="6" t="s">
        <v>1066</v>
      </c>
      <c r="F444" s="6" t="s">
        <v>211</v>
      </c>
      <c r="G444" s="6" t="s">
        <v>263</v>
      </c>
      <c r="H444" s="6"/>
      <c r="I444" s="6"/>
      <c r="J444" s="6" t="s">
        <v>312</v>
      </c>
      <c r="K444" s="6"/>
    </row>
    <row r="445" customFormat="false" ht="12.8" hidden="false" customHeight="false" outlineLevel="0" collapsed="false">
      <c r="A445" s="6" t="str">
        <f aca="false">HYPERLINK("https://www.fabsurplus.com/sdi_catalog/salesItemDetails.do?id=100478")</f>
        <v>https://www.fabsurplus.com/sdi_catalog/salesItemDetails.do?id=100478</v>
      </c>
      <c r="B445" s="6" t="s">
        <v>1221</v>
      </c>
      <c r="C445" s="6" t="s">
        <v>97</v>
      </c>
      <c r="D445" s="6" t="s">
        <v>1222</v>
      </c>
      <c r="E445" s="6" t="s">
        <v>955</v>
      </c>
      <c r="F445" s="6" t="s">
        <v>611</v>
      </c>
      <c r="G445" s="6" t="s">
        <v>263</v>
      </c>
      <c r="H445" s="6"/>
      <c r="I445" s="6"/>
      <c r="J445" s="6" t="s">
        <v>312</v>
      </c>
      <c r="K445" s="6"/>
    </row>
    <row r="446" customFormat="false" ht="12.8" hidden="false" customHeight="false" outlineLevel="0" collapsed="false">
      <c r="A446" s="6" t="str">
        <f aca="false">HYPERLINK("https://www.fabsurplus.com/sdi_catalog/salesItemDetails.do?id=100479")</f>
        <v>https://www.fabsurplus.com/sdi_catalog/salesItemDetails.do?id=100479</v>
      </c>
      <c r="B446" s="6" t="s">
        <v>1223</v>
      </c>
      <c r="C446" s="6" t="s">
        <v>97</v>
      </c>
      <c r="D446" s="6" t="s">
        <v>1224</v>
      </c>
      <c r="E446" s="6" t="s">
        <v>955</v>
      </c>
      <c r="F446" s="6" t="s">
        <v>626</v>
      </c>
      <c r="G446" s="6" t="s">
        <v>263</v>
      </c>
      <c r="H446" s="6"/>
      <c r="I446" s="6"/>
      <c r="J446" s="6" t="s">
        <v>312</v>
      </c>
      <c r="K446" s="6"/>
    </row>
    <row r="447" customFormat="false" ht="12.8" hidden="false" customHeight="false" outlineLevel="0" collapsed="false">
      <c r="A447" s="8" t="str">
        <f aca="false">HYPERLINK("https://www.fabsurplus.com/sdi_catalog/salesItemDetails.do?id=100481")</f>
        <v>https://www.fabsurplus.com/sdi_catalog/salesItemDetails.do?id=100481</v>
      </c>
      <c r="B447" s="8" t="s">
        <v>1225</v>
      </c>
      <c r="C447" s="8" t="s">
        <v>97</v>
      </c>
      <c r="D447" s="8" t="s">
        <v>1226</v>
      </c>
      <c r="E447" s="8" t="s">
        <v>955</v>
      </c>
      <c r="F447" s="8" t="s">
        <v>211</v>
      </c>
      <c r="G447" s="8" t="s">
        <v>263</v>
      </c>
      <c r="H447" s="8"/>
      <c r="I447" s="8"/>
      <c r="J447" s="8" t="s">
        <v>312</v>
      </c>
      <c r="K447" s="8"/>
    </row>
    <row r="448" customFormat="false" ht="12.8" hidden="false" customHeight="false" outlineLevel="0" collapsed="false">
      <c r="A448" s="6" t="str">
        <f aca="false">HYPERLINK("https://www.fabsurplus.com/sdi_catalog/salesItemDetails.do?id=100480")</f>
        <v>https://www.fabsurplus.com/sdi_catalog/salesItemDetails.do?id=100480</v>
      </c>
      <c r="B448" s="6" t="s">
        <v>1227</v>
      </c>
      <c r="C448" s="6" t="s">
        <v>97</v>
      </c>
      <c r="D448" s="6" t="s">
        <v>1226</v>
      </c>
      <c r="E448" s="6" t="s">
        <v>955</v>
      </c>
      <c r="F448" s="6" t="s">
        <v>211</v>
      </c>
      <c r="G448" s="6" t="s">
        <v>263</v>
      </c>
      <c r="H448" s="6"/>
      <c r="I448" s="6"/>
      <c r="J448" s="6" t="s">
        <v>312</v>
      </c>
      <c r="K448" s="6"/>
    </row>
    <row r="449" customFormat="false" ht="12.8" hidden="false" customHeight="false" outlineLevel="0" collapsed="false">
      <c r="A449" s="8" t="str">
        <f aca="false">HYPERLINK("https://www.fabsurplus.com/sdi_catalog/salesItemDetails.do?id=100482")</f>
        <v>https://www.fabsurplus.com/sdi_catalog/salesItemDetails.do?id=100482</v>
      </c>
      <c r="B449" s="8" t="s">
        <v>1228</v>
      </c>
      <c r="C449" s="8" t="s">
        <v>97</v>
      </c>
      <c r="D449" s="8" t="s">
        <v>1229</v>
      </c>
      <c r="E449" s="8" t="s">
        <v>955</v>
      </c>
      <c r="F449" s="8" t="s">
        <v>626</v>
      </c>
      <c r="G449" s="8" t="s">
        <v>263</v>
      </c>
      <c r="H449" s="8"/>
      <c r="I449" s="8"/>
      <c r="J449" s="8" t="s">
        <v>312</v>
      </c>
      <c r="K449" s="8"/>
    </row>
    <row r="450" customFormat="false" ht="12.8" hidden="false" customHeight="false" outlineLevel="0" collapsed="false">
      <c r="A450" s="6" t="str">
        <f aca="false">HYPERLINK("https://www.fabsurplus.com/sdi_catalog/salesItemDetails.do?id=100483")</f>
        <v>https://www.fabsurplus.com/sdi_catalog/salesItemDetails.do?id=100483</v>
      </c>
      <c r="B450" s="6" t="s">
        <v>1230</v>
      </c>
      <c r="C450" s="6" t="s">
        <v>97</v>
      </c>
      <c r="D450" s="6" t="s">
        <v>1231</v>
      </c>
      <c r="E450" s="6" t="s">
        <v>955</v>
      </c>
      <c r="F450" s="6" t="s">
        <v>742</v>
      </c>
      <c r="G450" s="6" t="s">
        <v>263</v>
      </c>
      <c r="H450" s="6"/>
      <c r="I450" s="6"/>
      <c r="J450" s="6" t="s">
        <v>312</v>
      </c>
      <c r="K450" s="6"/>
    </row>
    <row r="451" customFormat="false" ht="12.8" hidden="false" customHeight="false" outlineLevel="0" collapsed="false">
      <c r="A451" s="6" t="str">
        <f aca="false">HYPERLINK("https://www.fabsurplus.com/sdi_catalog/salesItemDetails.do?id=100404")</f>
        <v>https://www.fabsurplus.com/sdi_catalog/salesItemDetails.do?id=100404</v>
      </c>
      <c r="B451" s="6" t="s">
        <v>1232</v>
      </c>
      <c r="C451" s="6" t="s">
        <v>97</v>
      </c>
      <c r="D451" s="6" t="s">
        <v>1233</v>
      </c>
      <c r="E451" s="6" t="s">
        <v>1214</v>
      </c>
      <c r="F451" s="6" t="s">
        <v>16</v>
      </c>
      <c r="G451" s="6" t="s">
        <v>263</v>
      </c>
      <c r="H451" s="6"/>
      <c r="I451" s="6"/>
      <c r="J451" s="6" t="s">
        <v>312</v>
      </c>
      <c r="K451" s="6"/>
    </row>
    <row r="452" customFormat="false" ht="12.8" hidden="false" customHeight="false" outlineLevel="0" collapsed="false">
      <c r="A452" s="6" t="str">
        <f aca="false">HYPERLINK("https://www.fabsurplus.com/sdi_catalog/salesItemDetails.do?id=100620")</f>
        <v>https://www.fabsurplus.com/sdi_catalog/salesItemDetails.do?id=100620</v>
      </c>
      <c r="B452" s="6" t="s">
        <v>1234</v>
      </c>
      <c r="C452" s="6" t="s">
        <v>97</v>
      </c>
      <c r="D452" s="6" t="s">
        <v>1235</v>
      </c>
      <c r="E452" s="6" t="s">
        <v>1236</v>
      </c>
      <c r="F452" s="6" t="s">
        <v>745</v>
      </c>
      <c r="G452" s="6" t="s">
        <v>263</v>
      </c>
      <c r="H452" s="6"/>
      <c r="I452" s="6"/>
      <c r="J452" s="6" t="s">
        <v>312</v>
      </c>
      <c r="K452" s="6"/>
    </row>
    <row r="453" customFormat="false" ht="12.8" hidden="false" customHeight="false" outlineLevel="0" collapsed="false">
      <c r="A453" s="6" t="str">
        <f aca="false">HYPERLINK("https://www.fabsurplus.com/sdi_catalog/salesItemDetails.do?id=100435")</f>
        <v>https://www.fabsurplus.com/sdi_catalog/salesItemDetails.do?id=100435</v>
      </c>
      <c r="B453" s="6" t="s">
        <v>1237</v>
      </c>
      <c r="C453" s="6" t="s">
        <v>97</v>
      </c>
      <c r="D453" s="6" t="s">
        <v>1238</v>
      </c>
      <c r="E453" s="6" t="s">
        <v>936</v>
      </c>
      <c r="F453" s="6" t="s">
        <v>16</v>
      </c>
      <c r="G453" s="6" t="s">
        <v>263</v>
      </c>
      <c r="H453" s="6"/>
      <c r="I453" s="6"/>
      <c r="J453" s="6" t="s">
        <v>312</v>
      </c>
      <c r="K453" s="6"/>
    </row>
    <row r="454" customFormat="false" ht="12.8" hidden="false" customHeight="false" outlineLevel="0" collapsed="false">
      <c r="A454" s="8" t="str">
        <f aca="false">HYPERLINK("https://www.fabsurplus.com/sdi_catalog/salesItemDetails.do?id=100484")</f>
        <v>https://www.fabsurplus.com/sdi_catalog/salesItemDetails.do?id=100484</v>
      </c>
      <c r="B454" s="8" t="s">
        <v>1239</v>
      </c>
      <c r="C454" s="8" t="s">
        <v>97</v>
      </c>
      <c r="D454" s="8" t="s">
        <v>1240</v>
      </c>
      <c r="E454" s="8" t="s">
        <v>955</v>
      </c>
      <c r="F454" s="8" t="s">
        <v>626</v>
      </c>
      <c r="G454" s="8" t="s">
        <v>263</v>
      </c>
      <c r="H454" s="8"/>
      <c r="I454" s="8"/>
      <c r="J454" s="8" t="s">
        <v>312</v>
      </c>
      <c r="K454" s="8"/>
    </row>
    <row r="455" customFormat="false" ht="12.8" hidden="false" customHeight="false" outlineLevel="0" collapsed="false">
      <c r="A455" s="8" t="str">
        <f aca="false">HYPERLINK("https://www.fabsurplus.com/sdi_catalog/salesItemDetails.do?id=100436")</f>
        <v>https://www.fabsurplus.com/sdi_catalog/salesItemDetails.do?id=100436</v>
      </c>
      <c r="B455" s="8" t="s">
        <v>1241</v>
      </c>
      <c r="C455" s="8" t="s">
        <v>97</v>
      </c>
      <c r="D455" s="8" t="s">
        <v>1242</v>
      </c>
      <c r="E455" s="8" t="s">
        <v>936</v>
      </c>
      <c r="F455" s="8" t="s">
        <v>16</v>
      </c>
      <c r="G455" s="8" t="s">
        <v>263</v>
      </c>
      <c r="H455" s="8"/>
      <c r="I455" s="8"/>
      <c r="J455" s="8" t="s">
        <v>312</v>
      </c>
      <c r="K455" s="8"/>
    </row>
    <row r="456" customFormat="false" ht="12.8" hidden="false" customHeight="false" outlineLevel="0" collapsed="false">
      <c r="A456" s="6" t="str">
        <f aca="false">HYPERLINK("https://www.fabsurplus.com/sdi_catalog/salesItemDetails.do?id=100437")</f>
        <v>https://www.fabsurplus.com/sdi_catalog/salesItemDetails.do?id=100437</v>
      </c>
      <c r="B456" s="6" t="s">
        <v>1243</v>
      </c>
      <c r="C456" s="6" t="s">
        <v>97</v>
      </c>
      <c r="D456" s="6" t="s">
        <v>1244</v>
      </c>
      <c r="E456" s="6" t="s">
        <v>936</v>
      </c>
      <c r="F456" s="6" t="s">
        <v>1245</v>
      </c>
      <c r="G456" s="6" t="s">
        <v>263</v>
      </c>
      <c r="H456" s="6"/>
      <c r="I456" s="6"/>
      <c r="J456" s="6" t="s">
        <v>312</v>
      </c>
      <c r="K456" s="6"/>
    </row>
    <row r="457" customFormat="false" ht="12.8" hidden="false" customHeight="false" outlineLevel="0" collapsed="false">
      <c r="A457" s="8" t="str">
        <f aca="false">HYPERLINK("https://www.fabsurplus.com/sdi_catalog/salesItemDetails.do?id=100485")</f>
        <v>https://www.fabsurplus.com/sdi_catalog/salesItemDetails.do?id=100485</v>
      </c>
      <c r="B457" s="8" t="s">
        <v>1246</v>
      </c>
      <c r="C457" s="8" t="s">
        <v>97</v>
      </c>
      <c r="D457" s="8" t="s">
        <v>1247</v>
      </c>
      <c r="E457" s="8" t="s">
        <v>955</v>
      </c>
      <c r="F457" s="8" t="s">
        <v>742</v>
      </c>
      <c r="G457" s="8" t="s">
        <v>263</v>
      </c>
      <c r="H457" s="8"/>
      <c r="I457" s="8"/>
      <c r="J457" s="8" t="s">
        <v>312</v>
      </c>
      <c r="K457" s="8"/>
    </row>
    <row r="458" customFormat="false" ht="12.8" hidden="false" customHeight="false" outlineLevel="0" collapsed="false">
      <c r="A458" s="6" t="str">
        <f aca="false">HYPERLINK("https://www.fabsurplus.com/sdi_catalog/salesItemDetails.do?id=100486")</f>
        <v>https://www.fabsurplus.com/sdi_catalog/salesItemDetails.do?id=100486</v>
      </c>
      <c r="B458" s="6" t="s">
        <v>1248</v>
      </c>
      <c r="C458" s="6" t="s">
        <v>97</v>
      </c>
      <c r="D458" s="6" t="s">
        <v>1249</v>
      </c>
      <c r="E458" s="6" t="s">
        <v>955</v>
      </c>
      <c r="F458" s="6" t="s">
        <v>913</v>
      </c>
      <c r="G458" s="6" t="s">
        <v>263</v>
      </c>
      <c r="H458" s="6"/>
      <c r="I458" s="6"/>
      <c r="J458" s="6" t="s">
        <v>312</v>
      </c>
      <c r="K458" s="6"/>
    </row>
    <row r="459" customFormat="false" ht="12.8" hidden="false" customHeight="false" outlineLevel="0" collapsed="false">
      <c r="A459" s="8" t="str">
        <f aca="false">HYPERLINK("https://www.fabsurplus.com/sdi_catalog/salesItemDetails.do?id=100438")</f>
        <v>https://www.fabsurplus.com/sdi_catalog/salesItemDetails.do?id=100438</v>
      </c>
      <c r="B459" s="8" t="s">
        <v>1250</v>
      </c>
      <c r="C459" s="8" t="s">
        <v>97</v>
      </c>
      <c r="D459" s="8" t="s">
        <v>1251</v>
      </c>
      <c r="E459" s="8" t="s">
        <v>936</v>
      </c>
      <c r="F459" s="8" t="s">
        <v>16</v>
      </c>
      <c r="G459" s="8" t="s">
        <v>263</v>
      </c>
      <c r="H459" s="8"/>
      <c r="I459" s="8"/>
      <c r="J459" s="8" t="s">
        <v>312</v>
      </c>
      <c r="K459" s="8"/>
    </row>
    <row r="460" customFormat="false" ht="12.8" hidden="false" customHeight="false" outlineLevel="0" collapsed="false">
      <c r="A460" s="8" t="str">
        <f aca="false">HYPERLINK("https://www.fabsurplus.com/sdi_catalog/salesItemDetails.do?id=100439")</f>
        <v>https://www.fabsurplus.com/sdi_catalog/salesItemDetails.do?id=100439</v>
      </c>
      <c r="B460" s="8" t="s">
        <v>1252</v>
      </c>
      <c r="C460" s="8" t="s">
        <v>97</v>
      </c>
      <c r="D460" s="8" t="s">
        <v>1253</v>
      </c>
      <c r="E460" s="8" t="s">
        <v>936</v>
      </c>
      <c r="F460" s="8" t="s">
        <v>16</v>
      </c>
      <c r="G460" s="8" t="s">
        <v>263</v>
      </c>
      <c r="H460" s="8"/>
      <c r="I460" s="8"/>
      <c r="J460" s="8" t="s">
        <v>312</v>
      </c>
      <c r="K460" s="8"/>
    </row>
    <row r="461" customFormat="false" ht="12.8" hidden="false" customHeight="false" outlineLevel="0" collapsed="false">
      <c r="A461" s="6" t="str">
        <f aca="false">HYPERLINK("https://www.fabsurplus.com/sdi_catalog/salesItemDetails.do?id=100487")</f>
        <v>https://www.fabsurplus.com/sdi_catalog/salesItemDetails.do?id=100487</v>
      </c>
      <c r="B461" s="6" t="s">
        <v>1254</v>
      </c>
      <c r="C461" s="6" t="s">
        <v>97</v>
      </c>
      <c r="D461" s="6" t="s">
        <v>1255</v>
      </c>
      <c r="E461" s="6" t="s">
        <v>955</v>
      </c>
      <c r="F461" s="6" t="s">
        <v>611</v>
      </c>
      <c r="G461" s="6" t="s">
        <v>263</v>
      </c>
      <c r="H461" s="6"/>
      <c r="I461" s="6"/>
      <c r="J461" s="6" t="s">
        <v>312</v>
      </c>
      <c r="K461" s="6"/>
    </row>
    <row r="462" customFormat="false" ht="12.8" hidden="false" customHeight="false" outlineLevel="0" collapsed="false">
      <c r="A462" s="8" t="str">
        <f aca="false">HYPERLINK("https://www.fabsurplus.com/sdi_catalog/salesItemDetails.do?id=100489")</f>
        <v>https://www.fabsurplus.com/sdi_catalog/salesItemDetails.do?id=100489</v>
      </c>
      <c r="B462" s="8" t="s">
        <v>1256</v>
      </c>
      <c r="C462" s="8" t="s">
        <v>97</v>
      </c>
      <c r="D462" s="8" t="s">
        <v>1257</v>
      </c>
      <c r="E462" s="8" t="s">
        <v>955</v>
      </c>
      <c r="F462" s="8" t="s">
        <v>16</v>
      </c>
      <c r="G462" s="8" t="s">
        <v>263</v>
      </c>
      <c r="H462" s="8"/>
      <c r="I462" s="8"/>
      <c r="J462" s="8" t="s">
        <v>312</v>
      </c>
      <c r="K462" s="8"/>
    </row>
    <row r="463" customFormat="false" ht="12.8" hidden="false" customHeight="false" outlineLevel="0" collapsed="false">
      <c r="A463" s="8" t="str">
        <f aca="false">HYPERLINK("https://www.fabsurplus.com/sdi_catalog/salesItemDetails.do?id=100488")</f>
        <v>https://www.fabsurplus.com/sdi_catalog/salesItemDetails.do?id=100488</v>
      </c>
      <c r="B463" s="8" t="s">
        <v>1258</v>
      </c>
      <c r="C463" s="8" t="s">
        <v>97</v>
      </c>
      <c r="D463" s="8" t="s">
        <v>1257</v>
      </c>
      <c r="E463" s="8" t="s">
        <v>955</v>
      </c>
      <c r="F463" s="8" t="s">
        <v>211</v>
      </c>
      <c r="G463" s="8" t="s">
        <v>263</v>
      </c>
      <c r="H463" s="8"/>
      <c r="I463" s="8"/>
      <c r="J463" s="8" t="s">
        <v>312</v>
      </c>
      <c r="K463" s="8"/>
    </row>
    <row r="464" customFormat="false" ht="12.8" hidden="false" customHeight="false" outlineLevel="0" collapsed="false">
      <c r="A464" s="8" t="str">
        <f aca="false">HYPERLINK("https://www.fabsurplus.com/sdi_catalog/salesItemDetails.do?id=100490")</f>
        <v>https://www.fabsurplus.com/sdi_catalog/salesItemDetails.do?id=100490</v>
      </c>
      <c r="B464" s="8" t="s">
        <v>1259</v>
      </c>
      <c r="C464" s="8" t="s">
        <v>97</v>
      </c>
      <c r="D464" s="8" t="s">
        <v>1260</v>
      </c>
      <c r="E464" s="8" t="s">
        <v>955</v>
      </c>
      <c r="F464" s="8" t="s">
        <v>742</v>
      </c>
      <c r="G464" s="8" t="s">
        <v>263</v>
      </c>
      <c r="H464" s="8"/>
      <c r="I464" s="8"/>
      <c r="J464" s="8" t="s">
        <v>312</v>
      </c>
      <c r="K464" s="8"/>
    </row>
    <row r="465" customFormat="false" ht="12.8" hidden="false" customHeight="false" outlineLevel="0" collapsed="false">
      <c r="A465" s="8" t="str">
        <f aca="false">HYPERLINK("https://www.fabsurplus.com/sdi_catalog/salesItemDetails.do?id=100491")</f>
        <v>https://www.fabsurplus.com/sdi_catalog/salesItemDetails.do?id=100491</v>
      </c>
      <c r="B465" s="8" t="s">
        <v>1261</v>
      </c>
      <c r="C465" s="8" t="s">
        <v>97</v>
      </c>
      <c r="D465" s="8" t="s">
        <v>1262</v>
      </c>
      <c r="E465" s="8" t="s">
        <v>955</v>
      </c>
      <c r="F465" s="8" t="s">
        <v>742</v>
      </c>
      <c r="G465" s="8" t="s">
        <v>263</v>
      </c>
      <c r="H465" s="8"/>
      <c r="I465" s="8"/>
      <c r="J465" s="8" t="s">
        <v>312</v>
      </c>
      <c r="K465" s="8"/>
    </row>
    <row r="466" customFormat="false" ht="12.8" hidden="false" customHeight="false" outlineLevel="0" collapsed="false">
      <c r="A466" s="8" t="str">
        <f aca="false">HYPERLINK("https://www.fabsurplus.com/sdi_catalog/salesItemDetails.do?id=100492")</f>
        <v>https://www.fabsurplus.com/sdi_catalog/salesItemDetails.do?id=100492</v>
      </c>
      <c r="B466" s="8" t="s">
        <v>1263</v>
      </c>
      <c r="C466" s="8" t="s">
        <v>97</v>
      </c>
      <c r="D466" s="8" t="s">
        <v>1264</v>
      </c>
      <c r="E466" s="8" t="s">
        <v>955</v>
      </c>
      <c r="F466" s="8" t="s">
        <v>913</v>
      </c>
      <c r="G466" s="8" t="s">
        <v>263</v>
      </c>
      <c r="H466" s="8"/>
      <c r="I466" s="8"/>
      <c r="J466" s="8" t="s">
        <v>312</v>
      </c>
      <c r="K466" s="8"/>
    </row>
    <row r="467" customFormat="false" ht="12.8" hidden="false" customHeight="false" outlineLevel="0" collapsed="false">
      <c r="A467" s="6" t="str">
        <f aca="false">HYPERLINK("https://www.fabsurplus.com/sdi_catalog/salesItemDetails.do?id=100493")</f>
        <v>https://www.fabsurplus.com/sdi_catalog/salesItemDetails.do?id=100493</v>
      </c>
      <c r="B467" s="6" t="s">
        <v>1265</v>
      </c>
      <c r="C467" s="6" t="s">
        <v>97</v>
      </c>
      <c r="D467" s="6" t="s">
        <v>1266</v>
      </c>
      <c r="E467" s="6" t="s">
        <v>955</v>
      </c>
      <c r="F467" s="6" t="s">
        <v>611</v>
      </c>
      <c r="G467" s="6" t="s">
        <v>263</v>
      </c>
      <c r="H467" s="6"/>
      <c r="I467" s="6"/>
      <c r="J467" s="6" t="s">
        <v>312</v>
      </c>
      <c r="K467" s="6"/>
    </row>
    <row r="468" customFormat="false" ht="12.8" hidden="false" customHeight="false" outlineLevel="0" collapsed="false">
      <c r="A468" s="6" t="str">
        <f aca="false">HYPERLINK("https://www.fabsurplus.com/sdi_catalog/salesItemDetails.do?id=100495")</f>
        <v>https://www.fabsurplus.com/sdi_catalog/salesItemDetails.do?id=100495</v>
      </c>
      <c r="B468" s="6" t="s">
        <v>1267</v>
      </c>
      <c r="C468" s="6" t="s">
        <v>97</v>
      </c>
      <c r="D468" s="6" t="s">
        <v>1268</v>
      </c>
      <c r="E468" s="6" t="s">
        <v>955</v>
      </c>
      <c r="F468" s="6" t="s">
        <v>16</v>
      </c>
      <c r="G468" s="6" t="s">
        <v>263</v>
      </c>
      <c r="H468" s="6"/>
      <c r="I468" s="6"/>
      <c r="J468" s="6" t="s">
        <v>312</v>
      </c>
      <c r="K468" s="6"/>
    </row>
    <row r="469" customFormat="false" ht="12.8" hidden="false" customHeight="false" outlineLevel="0" collapsed="false">
      <c r="A469" s="6" t="str">
        <f aca="false">HYPERLINK("https://www.fabsurplus.com/sdi_catalog/salesItemDetails.do?id=100494")</f>
        <v>https://www.fabsurplus.com/sdi_catalog/salesItemDetails.do?id=100494</v>
      </c>
      <c r="B469" s="6" t="s">
        <v>1269</v>
      </c>
      <c r="C469" s="6" t="s">
        <v>97</v>
      </c>
      <c r="D469" s="6" t="s">
        <v>1268</v>
      </c>
      <c r="E469" s="6" t="s">
        <v>955</v>
      </c>
      <c r="F469" s="6" t="s">
        <v>211</v>
      </c>
      <c r="G469" s="6" t="s">
        <v>263</v>
      </c>
      <c r="H469" s="6"/>
      <c r="I469" s="6"/>
      <c r="J469" s="6" t="s">
        <v>312</v>
      </c>
      <c r="K469" s="6"/>
    </row>
    <row r="470" customFormat="false" ht="12.8" hidden="false" customHeight="false" outlineLevel="0" collapsed="false">
      <c r="A470" s="6" t="str">
        <f aca="false">HYPERLINK("https://www.fabsurplus.com/sdi_catalog/salesItemDetails.do?id=100402")</f>
        <v>https://www.fabsurplus.com/sdi_catalog/salesItemDetails.do?id=100402</v>
      </c>
      <c r="B470" s="6" t="s">
        <v>1270</v>
      </c>
      <c r="C470" s="6" t="s">
        <v>97</v>
      </c>
      <c r="D470" s="6" t="s">
        <v>1271</v>
      </c>
      <c r="E470" s="6" t="s">
        <v>887</v>
      </c>
      <c r="F470" s="6" t="s">
        <v>16</v>
      </c>
      <c r="G470" s="6" t="s">
        <v>263</v>
      </c>
      <c r="H470" s="6"/>
      <c r="I470" s="6"/>
      <c r="J470" s="6" t="s">
        <v>312</v>
      </c>
      <c r="K470" s="6"/>
    </row>
    <row r="471" customFormat="false" ht="12.8" hidden="false" customHeight="false" outlineLevel="0" collapsed="false">
      <c r="A471" s="8" t="str">
        <f aca="false">HYPERLINK("https://www.fabsurplus.com/sdi_catalog/salesItemDetails.do?id=100577")</f>
        <v>https://www.fabsurplus.com/sdi_catalog/salesItemDetails.do?id=100577</v>
      </c>
      <c r="B471" s="8" t="s">
        <v>1272</v>
      </c>
      <c r="C471" s="8" t="s">
        <v>97</v>
      </c>
      <c r="D471" s="8" t="s">
        <v>1273</v>
      </c>
      <c r="E471" s="8" t="s">
        <v>900</v>
      </c>
      <c r="F471" s="8" t="s">
        <v>245</v>
      </c>
      <c r="G471" s="8" t="s">
        <v>263</v>
      </c>
      <c r="H471" s="8"/>
      <c r="I471" s="8"/>
      <c r="J471" s="8" t="s">
        <v>312</v>
      </c>
      <c r="K471" s="8"/>
    </row>
    <row r="472" customFormat="false" ht="12.8" hidden="false" customHeight="false" outlineLevel="0" collapsed="false">
      <c r="A472" s="6" t="str">
        <f aca="false">HYPERLINK("https://www.fabsurplus.com/sdi_catalog/salesItemDetails.do?id=100578")</f>
        <v>https://www.fabsurplus.com/sdi_catalog/salesItemDetails.do?id=100578</v>
      </c>
      <c r="B472" s="6" t="s">
        <v>1274</v>
      </c>
      <c r="C472" s="6" t="s">
        <v>97</v>
      </c>
      <c r="D472" s="6" t="s">
        <v>1275</v>
      </c>
      <c r="E472" s="6" t="s">
        <v>900</v>
      </c>
      <c r="F472" s="6" t="s">
        <v>745</v>
      </c>
      <c r="G472" s="6" t="s">
        <v>263</v>
      </c>
      <c r="H472" s="6"/>
      <c r="I472" s="6"/>
      <c r="J472" s="6" t="s">
        <v>312</v>
      </c>
      <c r="K472" s="6"/>
    </row>
    <row r="473" customFormat="false" ht="12.8" hidden="false" customHeight="false" outlineLevel="0" collapsed="false">
      <c r="A473" s="6" t="str">
        <f aca="false">HYPERLINK("https://www.fabsurplus.com/sdi_catalog/salesItemDetails.do?id=100579")</f>
        <v>https://www.fabsurplus.com/sdi_catalog/salesItemDetails.do?id=100579</v>
      </c>
      <c r="B473" s="6" t="s">
        <v>1276</v>
      </c>
      <c r="C473" s="6" t="s">
        <v>97</v>
      </c>
      <c r="D473" s="6" t="s">
        <v>1277</v>
      </c>
      <c r="E473" s="6" t="s">
        <v>900</v>
      </c>
      <c r="F473" s="6" t="s">
        <v>913</v>
      </c>
      <c r="G473" s="6" t="s">
        <v>263</v>
      </c>
      <c r="H473" s="6"/>
      <c r="I473" s="6"/>
      <c r="J473" s="6" t="s">
        <v>312</v>
      </c>
      <c r="K473" s="6"/>
    </row>
    <row r="474" customFormat="false" ht="12.8" hidden="false" customHeight="false" outlineLevel="0" collapsed="false">
      <c r="A474" s="6" t="str">
        <f aca="false">HYPERLINK("https://www.fabsurplus.com/sdi_catalog/salesItemDetails.do?id=100580")</f>
        <v>https://www.fabsurplus.com/sdi_catalog/salesItemDetails.do?id=100580</v>
      </c>
      <c r="B474" s="6" t="s">
        <v>1278</v>
      </c>
      <c r="C474" s="6" t="s">
        <v>97</v>
      </c>
      <c r="D474" s="6" t="s">
        <v>1279</v>
      </c>
      <c r="E474" s="6" t="s">
        <v>900</v>
      </c>
      <c r="F474" s="6" t="s">
        <v>913</v>
      </c>
      <c r="G474" s="6" t="s">
        <v>263</v>
      </c>
      <c r="H474" s="6"/>
      <c r="I474" s="6"/>
      <c r="J474" s="6" t="s">
        <v>312</v>
      </c>
      <c r="K474" s="6"/>
    </row>
    <row r="475" customFormat="false" ht="12.8" hidden="false" customHeight="false" outlineLevel="0" collapsed="false">
      <c r="A475" s="6" t="str">
        <f aca="false">HYPERLINK("https://www.fabsurplus.com/sdi_catalog/salesItemDetails.do?id=100581")</f>
        <v>https://www.fabsurplus.com/sdi_catalog/salesItemDetails.do?id=100581</v>
      </c>
      <c r="B475" s="6" t="s">
        <v>1280</v>
      </c>
      <c r="C475" s="6" t="s">
        <v>97</v>
      </c>
      <c r="D475" s="6" t="s">
        <v>1281</v>
      </c>
      <c r="E475" s="6" t="s">
        <v>900</v>
      </c>
      <c r="F475" s="6" t="s">
        <v>626</v>
      </c>
      <c r="G475" s="6" t="s">
        <v>263</v>
      </c>
      <c r="H475" s="6"/>
      <c r="I475" s="6"/>
      <c r="J475" s="6" t="s">
        <v>312</v>
      </c>
      <c r="K475" s="6"/>
    </row>
    <row r="476" customFormat="false" ht="12.8" hidden="false" customHeight="false" outlineLevel="0" collapsed="false">
      <c r="A476" s="8" t="str">
        <f aca="false">HYPERLINK("https://www.fabsurplus.com/sdi_catalog/salesItemDetails.do?id=100582")</f>
        <v>https://www.fabsurplus.com/sdi_catalog/salesItemDetails.do?id=100582</v>
      </c>
      <c r="B476" s="8" t="s">
        <v>1282</v>
      </c>
      <c r="C476" s="8" t="s">
        <v>97</v>
      </c>
      <c r="D476" s="8" t="s">
        <v>1283</v>
      </c>
      <c r="E476" s="8" t="s">
        <v>900</v>
      </c>
      <c r="F476" s="8" t="s">
        <v>742</v>
      </c>
      <c r="G476" s="8" t="s">
        <v>263</v>
      </c>
      <c r="H476" s="8"/>
      <c r="I476" s="8"/>
      <c r="J476" s="8" t="s">
        <v>312</v>
      </c>
      <c r="K476" s="8"/>
    </row>
    <row r="477" customFormat="false" ht="12.8" hidden="false" customHeight="false" outlineLevel="0" collapsed="false">
      <c r="A477" s="8" t="str">
        <f aca="false">HYPERLINK("https://www.fabsurplus.com/sdi_catalog/salesItemDetails.do?id=100583")</f>
        <v>https://www.fabsurplus.com/sdi_catalog/salesItemDetails.do?id=100583</v>
      </c>
      <c r="B477" s="8" t="s">
        <v>1284</v>
      </c>
      <c r="C477" s="8" t="s">
        <v>97</v>
      </c>
      <c r="D477" s="8" t="s">
        <v>1285</v>
      </c>
      <c r="E477" s="8" t="s">
        <v>900</v>
      </c>
      <c r="F477" s="8" t="s">
        <v>913</v>
      </c>
      <c r="G477" s="8" t="s">
        <v>263</v>
      </c>
      <c r="H477" s="8"/>
      <c r="I477" s="8"/>
      <c r="J477" s="8" t="s">
        <v>312</v>
      </c>
      <c r="K477" s="8"/>
    </row>
    <row r="478" customFormat="false" ht="12.8" hidden="false" customHeight="false" outlineLevel="0" collapsed="false">
      <c r="A478" s="6" t="str">
        <f aca="false">HYPERLINK("https://www.fabsurplus.com/sdi_catalog/salesItemDetails.do?id=100584")</f>
        <v>https://www.fabsurplus.com/sdi_catalog/salesItemDetails.do?id=100584</v>
      </c>
      <c r="B478" s="6" t="s">
        <v>1286</v>
      </c>
      <c r="C478" s="6" t="s">
        <v>97</v>
      </c>
      <c r="D478" s="6" t="s">
        <v>1287</v>
      </c>
      <c r="E478" s="6" t="s">
        <v>900</v>
      </c>
      <c r="F478" s="6" t="s">
        <v>742</v>
      </c>
      <c r="G478" s="6" t="s">
        <v>263</v>
      </c>
      <c r="H478" s="6"/>
      <c r="I478" s="6"/>
      <c r="J478" s="6" t="s">
        <v>312</v>
      </c>
      <c r="K478" s="6"/>
    </row>
    <row r="479" customFormat="false" ht="12.8" hidden="false" customHeight="false" outlineLevel="0" collapsed="false">
      <c r="A479" s="8" t="str">
        <f aca="false">HYPERLINK("https://www.fabsurplus.com/sdi_catalog/salesItemDetails.do?id=100440")</f>
        <v>https://www.fabsurplus.com/sdi_catalog/salesItemDetails.do?id=100440</v>
      </c>
      <c r="B479" s="8" t="s">
        <v>1288</v>
      </c>
      <c r="C479" s="8" t="s">
        <v>97</v>
      </c>
      <c r="D479" s="8" t="s">
        <v>1289</v>
      </c>
      <c r="E479" s="8" t="s">
        <v>936</v>
      </c>
      <c r="F479" s="8" t="s">
        <v>16</v>
      </c>
      <c r="G479" s="8" t="s">
        <v>263</v>
      </c>
      <c r="H479" s="8"/>
      <c r="I479" s="8"/>
      <c r="J479" s="8" t="s">
        <v>312</v>
      </c>
      <c r="K479" s="8"/>
    </row>
    <row r="480" customFormat="false" ht="12.8" hidden="false" customHeight="false" outlineLevel="0" collapsed="false">
      <c r="A480" s="8" t="str">
        <f aca="false">HYPERLINK("https://www.fabsurplus.com/sdi_catalog/salesItemDetails.do?id=100585")</f>
        <v>https://www.fabsurplus.com/sdi_catalog/salesItemDetails.do?id=100585</v>
      </c>
      <c r="B480" s="8" t="s">
        <v>1290</v>
      </c>
      <c r="C480" s="8" t="s">
        <v>97</v>
      </c>
      <c r="D480" s="8" t="s">
        <v>1291</v>
      </c>
      <c r="E480" s="8" t="s">
        <v>900</v>
      </c>
      <c r="F480" s="8" t="s">
        <v>673</v>
      </c>
      <c r="G480" s="8" t="s">
        <v>263</v>
      </c>
      <c r="H480" s="8"/>
      <c r="I480" s="8"/>
      <c r="J480" s="8" t="s">
        <v>312</v>
      </c>
      <c r="K480" s="8"/>
    </row>
    <row r="481" customFormat="false" ht="12.8" hidden="false" customHeight="false" outlineLevel="0" collapsed="false">
      <c r="A481" s="6" t="str">
        <f aca="false">HYPERLINK("https://www.fabsurplus.com/sdi_catalog/salesItemDetails.do?id=100586")</f>
        <v>https://www.fabsurplus.com/sdi_catalog/salesItemDetails.do?id=100586</v>
      </c>
      <c r="B481" s="6" t="s">
        <v>1292</v>
      </c>
      <c r="C481" s="6" t="s">
        <v>97</v>
      </c>
      <c r="D481" s="6" t="s">
        <v>1293</v>
      </c>
      <c r="E481" s="6" t="s">
        <v>900</v>
      </c>
      <c r="F481" s="6" t="s">
        <v>745</v>
      </c>
      <c r="G481" s="6" t="s">
        <v>263</v>
      </c>
      <c r="H481" s="6"/>
      <c r="I481" s="6"/>
      <c r="J481" s="6" t="s">
        <v>312</v>
      </c>
      <c r="K481" s="6"/>
    </row>
    <row r="482" customFormat="false" ht="12.8" hidden="false" customHeight="false" outlineLevel="0" collapsed="false">
      <c r="A482" s="6" t="str">
        <f aca="false">HYPERLINK("https://www.fabsurplus.com/sdi_catalog/salesItemDetails.do?id=100587")</f>
        <v>https://www.fabsurplus.com/sdi_catalog/salesItemDetails.do?id=100587</v>
      </c>
      <c r="B482" s="6" t="s">
        <v>1294</v>
      </c>
      <c r="C482" s="6" t="s">
        <v>97</v>
      </c>
      <c r="D482" s="6" t="s">
        <v>1295</v>
      </c>
      <c r="E482" s="6" t="s">
        <v>900</v>
      </c>
      <c r="F482" s="6" t="s">
        <v>626</v>
      </c>
      <c r="G482" s="6" t="s">
        <v>263</v>
      </c>
      <c r="H482" s="6"/>
      <c r="I482" s="6"/>
      <c r="J482" s="6" t="s">
        <v>312</v>
      </c>
      <c r="K482" s="6"/>
    </row>
    <row r="483" customFormat="false" ht="12.8" hidden="false" customHeight="false" outlineLevel="0" collapsed="false">
      <c r="A483" s="6" t="str">
        <f aca="false">HYPERLINK("https://www.fabsurplus.com/sdi_catalog/salesItemDetails.do?id=100588")</f>
        <v>https://www.fabsurplus.com/sdi_catalog/salesItemDetails.do?id=100588</v>
      </c>
      <c r="B483" s="6" t="s">
        <v>1296</v>
      </c>
      <c r="C483" s="6" t="s">
        <v>97</v>
      </c>
      <c r="D483" s="6" t="s">
        <v>1297</v>
      </c>
      <c r="E483" s="6" t="s">
        <v>900</v>
      </c>
      <c r="F483" s="6" t="s">
        <v>742</v>
      </c>
      <c r="G483" s="6" t="s">
        <v>263</v>
      </c>
      <c r="H483" s="6"/>
      <c r="I483" s="6"/>
      <c r="J483" s="6" t="s">
        <v>312</v>
      </c>
      <c r="K483" s="6"/>
    </row>
    <row r="484" customFormat="false" ht="12.8" hidden="false" customHeight="false" outlineLevel="0" collapsed="false">
      <c r="A484" s="6" t="str">
        <f aca="false">HYPERLINK("https://www.fabsurplus.com/sdi_catalog/salesItemDetails.do?id=100589")</f>
        <v>https://www.fabsurplus.com/sdi_catalog/salesItemDetails.do?id=100589</v>
      </c>
      <c r="B484" s="6" t="s">
        <v>1298</v>
      </c>
      <c r="C484" s="6" t="s">
        <v>97</v>
      </c>
      <c r="D484" s="6" t="s">
        <v>1299</v>
      </c>
      <c r="E484" s="6" t="s">
        <v>900</v>
      </c>
      <c r="F484" s="6" t="s">
        <v>745</v>
      </c>
      <c r="G484" s="6" t="s">
        <v>263</v>
      </c>
      <c r="H484" s="6"/>
      <c r="I484" s="6"/>
      <c r="J484" s="6" t="s">
        <v>312</v>
      </c>
      <c r="K484" s="6"/>
    </row>
    <row r="485" customFormat="false" ht="12.8" hidden="false" customHeight="false" outlineLevel="0" collapsed="false">
      <c r="A485" s="6" t="str">
        <f aca="false">HYPERLINK("https://www.fabsurplus.com/sdi_catalog/salesItemDetails.do?id=100590")</f>
        <v>https://www.fabsurplus.com/sdi_catalog/salesItemDetails.do?id=100590</v>
      </c>
      <c r="B485" s="6" t="s">
        <v>1300</v>
      </c>
      <c r="C485" s="6" t="s">
        <v>97</v>
      </c>
      <c r="D485" s="6" t="s">
        <v>1301</v>
      </c>
      <c r="E485" s="6" t="s">
        <v>900</v>
      </c>
      <c r="F485" s="6" t="s">
        <v>626</v>
      </c>
      <c r="G485" s="6" t="s">
        <v>263</v>
      </c>
      <c r="H485" s="6"/>
      <c r="I485" s="6"/>
      <c r="J485" s="6" t="s">
        <v>312</v>
      </c>
      <c r="K485" s="6"/>
    </row>
    <row r="486" customFormat="false" ht="12.8" hidden="false" customHeight="false" outlineLevel="0" collapsed="false">
      <c r="A486" s="8" t="str">
        <f aca="false">HYPERLINK("https://www.fabsurplus.com/sdi_catalog/salesItemDetails.do?id=100591")</f>
        <v>https://www.fabsurplus.com/sdi_catalog/salesItemDetails.do?id=100591</v>
      </c>
      <c r="B486" s="8" t="s">
        <v>1302</v>
      </c>
      <c r="C486" s="8" t="s">
        <v>97</v>
      </c>
      <c r="D486" s="8" t="s">
        <v>1303</v>
      </c>
      <c r="E486" s="8" t="s">
        <v>900</v>
      </c>
      <c r="F486" s="8" t="s">
        <v>742</v>
      </c>
      <c r="G486" s="8" t="s">
        <v>263</v>
      </c>
      <c r="H486" s="8"/>
      <c r="I486" s="8"/>
      <c r="J486" s="8" t="s">
        <v>312</v>
      </c>
      <c r="K486" s="8"/>
    </row>
    <row r="487" customFormat="false" ht="12.8" hidden="false" customHeight="false" outlineLevel="0" collapsed="false">
      <c r="A487" s="8" t="str">
        <f aca="false">HYPERLINK("https://www.fabsurplus.com/sdi_catalog/salesItemDetails.do?id=100592")</f>
        <v>https://www.fabsurplus.com/sdi_catalog/salesItemDetails.do?id=100592</v>
      </c>
      <c r="B487" s="8" t="s">
        <v>1304</v>
      </c>
      <c r="C487" s="8" t="s">
        <v>97</v>
      </c>
      <c r="D487" s="8" t="s">
        <v>1305</v>
      </c>
      <c r="E487" s="8" t="s">
        <v>900</v>
      </c>
      <c r="F487" s="8" t="s">
        <v>913</v>
      </c>
      <c r="G487" s="8" t="s">
        <v>263</v>
      </c>
      <c r="H487" s="8"/>
      <c r="I487" s="8"/>
      <c r="J487" s="8" t="s">
        <v>312</v>
      </c>
      <c r="K487" s="8"/>
    </row>
    <row r="488" customFormat="false" ht="12.8" hidden="false" customHeight="false" outlineLevel="0" collapsed="false">
      <c r="A488" s="6" t="str">
        <f aca="false">HYPERLINK("https://www.fabsurplus.com/sdi_catalog/salesItemDetails.do?id=100593")</f>
        <v>https://www.fabsurplus.com/sdi_catalog/salesItemDetails.do?id=100593</v>
      </c>
      <c r="B488" s="6" t="s">
        <v>1306</v>
      </c>
      <c r="C488" s="6" t="s">
        <v>97</v>
      </c>
      <c r="D488" s="6" t="s">
        <v>1307</v>
      </c>
      <c r="E488" s="6" t="s">
        <v>900</v>
      </c>
      <c r="F488" s="6" t="s">
        <v>913</v>
      </c>
      <c r="G488" s="6" t="s">
        <v>263</v>
      </c>
      <c r="H488" s="6"/>
      <c r="I488" s="6"/>
      <c r="J488" s="6" t="s">
        <v>312</v>
      </c>
      <c r="K488" s="6"/>
    </row>
    <row r="489" customFormat="false" ht="12.8" hidden="false" customHeight="false" outlineLevel="0" collapsed="false">
      <c r="A489" s="8" t="str">
        <f aca="false">HYPERLINK("https://www.fabsurplus.com/sdi_catalog/salesItemDetails.do?id=100594")</f>
        <v>https://www.fabsurplus.com/sdi_catalog/salesItemDetails.do?id=100594</v>
      </c>
      <c r="B489" s="8" t="s">
        <v>1308</v>
      </c>
      <c r="C489" s="8" t="s">
        <v>97</v>
      </c>
      <c r="D489" s="8" t="s">
        <v>1309</v>
      </c>
      <c r="E489" s="8" t="s">
        <v>900</v>
      </c>
      <c r="F489" s="8" t="s">
        <v>626</v>
      </c>
      <c r="G489" s="8" t="s">
        <v>263</v>
      </c>
      <c r="H489" s="8"/>
      <c r="I489" s="8"/>
      <c r="J489" s="8" t="s">
        <v>312</v>
      </c>
      <c r="K489" s="8"/>
    </row>
    <row r="490" customFormat="false" ht="12.8" hidden="false" customHeight="false" outlineLevel="0" collapsed="false">
      <c r="A490" s="8" t="str">
        <f aca="false">HYPERLINK("https://www.fabsurplus.com/sdi_catalog/salesItemDetails.do?id=100595")</f>
        <v>https://www.fabsurplus.com/sdi_catalog/salesItemDetails.do?id=100595</v>
      </c>
      <c r="B490" s="8" t="s">
        <v>1310</v>
      </c>
      <c r="C490" s="8" t="s">
        <v>97</v>
      </c>
      <c r="D490" s="8" t="s">
        <v>1311</v>
      </c>
      <c r="E490" s="8" t="s">
        <v>900</v>
      </c>
      <c r="F490" s="8" t="s">
        <v>913</v>
      </c>
      <c r="G490" s="8" t="s">
        <v>263</v>
      </c>
      <c r="H490" s="8"/>
      <c r="I490" s="8"/>
      <c r="J490" s="8" t="s">
        <v>312</v>
      </c>
      <c r="K490" s="8"/>
    </row>
    <row r="491" customFormat="false" ht="12.8" hidden="false" customHeight="false" outlineLevel="0" collapsed="false">
      <c r="A491" s="8" t="str">
        <f aca="false">HYPERLINK("https://www.fabsurplus.com/sdi_catalog/salesItemDetails.do?id=100596")</f>
        <v>https://www.fabsurplus.com/sdi_catalog/salesItemDetails.do?id=100596</v>
      </c>
      <c r="B491" s="8" t="s">
        <v>1312</v>
      </c>
      <c r="C491" s="8" t="s">
        <v>97</v>
      </c>
      <c r="D491" s="8" t="s">
        <v>1313</v>
      </c>
      <c r="E491" s="8" t="s">
        <v>900</v>
      </c>
      <c r="F491" s="8" t="s">
        <v>745</v>
      </c>
      <c r="G491" s="8" t="s">
        <v>263</v>
      </c>
      <c r="H491" s="8"/>
      <c r="I491" s="8"/>
      <c r="J491" s="8" t="s">
        <v>312</v>
      </c>
      <c r="K491" s="8"/>
    </row>
    <row r="492" customFormat="false" ht="12.8" hidden="false" customHeight="false" outlineLevel="0" collapsed="false">
      <c r="A492" s="8" t="str">
        <f aca="false">HYPERLINK("https://www.fabsurplus.com/sdi_catalog/salesItemDetails.do?id=100597")</f>
        <v>https://www.fabsurplus.com/sdi_catalog/salesItemDetails.do?id=100597</v>
      </c>
      <c r="B492" s="8" t="s">
        <v>1314</v>
      </c>
      <c r="C492" s="8" t="s">
        <v>97</v>
      </c>
      <c r="D492" s="8" t="s">
        <v>1315</v>
      </c>
      <c r="E492" s="8" t="s">
        <v>900</v>
      </c>
      <c r="F492" s="8" t="s">
        <v>245</v>
      </c>
      <c r="G492" s="8" t="s">
        <v>263</v>
      </c>
      <c r="H492" s="8"/>
      <c r="I492" s="8"/>
      <c r="J492" s="8" t="s">
        <v>312</v>
      </c>
      <c r="K492" s="8"/>
    </row>
    <row r="493" customFormat="false" ht="12.8" hidden="false" customHeight="false" outlineLevel="0" collapsed="false">
      <c r="A493" s="8" t="str">
        <f aca="false">HYPERLINK("https://www.fabsurplus.com/sdi_catalog/salesItemDetails.do?id=100598")</f>
        <v>https://www.fabsurplus.com/sdi_catalog/salesItemDetails.do?id=100598</v>
      </c>
      <c r="B493" s="8" t="s">
        <v>1316</v>
      </c>
      <c r="C493" s="8" t="s">
        <v>97</v>
      </c>
      <c r="D493" s="8" t="s">
        <v>1317</v>
      </c>
      <c r="E493" s="8" t="s">
        <v>900</v>
      </c>
      <c r="F493" s="8" t="s">
        <v>245</v>
      </c>
      <c r="G493" s="8" t="s">
        <v>263</v>
      </c>
      <c r="H493" s="8"/>
      <c r="I493" s="8"/>
      <c r="J493" s="8" t="s">
        <v>312</v>
      </c>
      <c r="K493" s="8"/>
    </row>
    <row r="494" customFormat="false" ht="12.8" hidden="false" customHeight="false" outlineLevel="0" collapsed="false">
      <c r="A494" s="6" t="str">
        <f aca="false">HYPERLINK("https://www.fabsurplus.com/sdi_catalog/salesItemDetails.do?id=100599")</f>
        <v>https://www.fabsurplus.com/sdi_catalog/salesItemDetails.do?id=100599</v>
      </c>
      <c r="B494" s="6" t="s">
        <v>1318</v>
      </c>
      <c r="C494" s="6" t="s">
        <v>97</v>
      </c>
      <c r="D494" s="6" t="s">
        <v>1319</v>
      </c>
      <c r="E494" s="6" t="s">
        <v>900</v>
      </c>
      <c r="F494" s="6" t="s">
        <v>245</v>
      </c>
      <c r="G494" s="6" t="s">
        <v>263</v>
      </c>
      <c r="H494" s="6"/>
      <c r="I494" s="6"/>
      <c r="J494" s="6" t="s">
        <v>312</v>
      </c>
      <c r="K494" s="6"/>
    </row>
    <row r="495" customFormat="false" ht="12.8" hidden="false" customHeight="false" outlineLevel="0" collapsed="false">
      <c r="A495" s="6" t="str">
        <f aca="false">HYPERLINK("https://www.fabsurplus.com/sdi_catalog/salesItemDetails.do?id=100600")</f>
        <v>https://www.fabsurplus.com/sdi_catalog/salesItemDetails.do?id=100600</v>
      </c>
      <c r="B495" s="6" t="s">
        <v>1320</v>
      </c>
      <c r="C495" s="6" t="s">
        <v>97</v>
      </c>
      <c r="D495" s="6" t="s">
        <v>1321</v>
      </c>
      <c r="E495" s="6" t="s">
        <v>900</v>
      </c>
      <c r="F495" s="6" t="s">
        <v>742</v>
      </c>
      <c r="G495" s="6" t="s">
        <v>263</v>
      </c>
      <c r="H495" s="6"/>
      <c r="I495" s="6"/>
      <c r="J495" s="6" t="s">
        <v>312</v>
      </c>
      <c r="K495" s="6"/>
    </row>
    <row r="496" customFormat="false" ht="12.8" hidden="false" customHeight="false" outlineLevel="0" collapsed="false">
      <c r="A496" s="6" t="str">
        <f aca="false">HYPERLINK("https://www.fabsurplus.com/sdi_catalog/salesItemDetails.do?id=100601")</f>
        <v>https://www.fabsurplus.com/sdi_catalog/salesItemDetails.do?id=100601</v>
      </c>
      <c r="B496" s="6" t="s">
        <v>1322</v>
      </c>
      <c r="C496" s="6" t="s">
        <v>97</v>
      </c>
      <c r="D496" s="6" t="s">
        <v>1323</v>
      </c>
      <c r="E496" s="6" t="s">
        <v>900</v>
      </c>
      <c r="F496" s="6" t="s">
        <v>742</v>
      </c>
      <c r="G496" s="6" t="s">
        <v>263</v>
      </c>
      <c r="H496" s="6"/>
      <c r="I496" s="6"/>
      <c r="J496" s="6" t="s">
        <v>312</v>
      </c>
      <c r="K496" s="6"/>
    </row>
    <row r="497" customFormat="false" ht="12.8" hidden="false" customHeight="false" outlineLevel="0" collapsed="false">
      <c r="A497" s="6" t="str">
        <f aca="false">HYPERLINK("https://www.fabsurplus.com/sdi_catalog/salesItemDetails.do?id=98027")</f>
        <v>https://www.fabsurplus.com/sdi_catalog/salesItemDetails.do?id=98027</v>
      </c>
      <c r="B497" s="6" t="s">
        <v>1324</v>
      </c>
      <c r="C497" s="6" t="s">
        <v>97</v>
      </c>
      <c r="D497" s="6" t="s">
        <v>1325</v>
      </c>
      <c r="E497" s="6" t="s">
        <v>1326</v>
      </c>
      <c r="F497" s="6" t="s">
        <v>16</v>
      </c>
      <c r="G497" s="6" t="s">
        <v>32</v>
      </c>
      <c r="H497" s="6"/>
      <c r="I497" s="6"/>
      <c r="J497" s="6" t="s">
        <v>19</v>
      </c>
      <c r="K497" s="6"/>
    </row>
    <row r="498" customFormat="false" ht="12.8" hidden="false" customHeight="false" outlineLevel="0" collapsed="false">
      <c r="A498" s="6" t="str">
        <f aca="false">HYPERLINK("https://www.fabsurplus.com/sdi_catalog/salesItemDetails.do?id=100602")</f>
        <v>https://www.fabsurplus.com/sdi_catalog/salesItemDetails.do?id=100602</v>
      </c>
      <c r="B498" s="6" t="s">
        <v>1327</v>
      </c>
      <c r="C498" s="6" t="s">
        <v>97</v>
      </c>
      <c r="D498" s="6" t="s">
        <v>1328</v>
      </c>
      <c r="E498" s="6" t="s">
        <v>900</v>
      </c>
      <c r="F498" s="6" t="s">
        <v>245</v>
      </c>
      <c r="G498" s="6" t="s">
        <v>263</v>
      </c>
      <c r="H498" s="6"/>
      <c r="I498" s="6"/>
      <c r="J498" s="6" t="s">
        <v>312</v>
      </c>
      <c r="K498" s="6"/>
    </row>
    <row r="499" customFormat="false" ht="12.8" hidden="false" customHeight="false" outlineLevel="0" collapsed="false">
      <c r="A499" s="6" t="str">
        <f aca="false">HYPERLINK("https://www.fabsurplus.com/sdi_catalog/salesItemDetails.do?id=100443")</f>
        <v>https://www.fabsurplus.com/sdi_catalog/salesItemDetails.do?id=100443</v>
      </c>
      <c r="B499" s="6" t="s">
        <v>1329</v>
      </c>
      <c r="C499" s="6" t="s">
        <v>97</v>
      </c>
      <c r="D499" s="6" t="s">
        <v>1330</v>
      </c>
      <c r="E499" s="6" t="s">
        <v>1158</v>
      </c>
      <c r="F499" s="6" t="s">
        <v>16</v>
      </c>
      <c r="G499" s="6" t="s">
        <v>263</v>
      </c>
      <c r="H499" s="6"/>
      <c r="I499" s="6"/>
      <c r="J499" s="6" t="s">
        <v>312</v>
      </c>
      <c r="K499" s="6"/>
    </row>
    <row r="500" customFormat="false" ht="12.8" hidden="false" customHeight="false" outlineLevel="0" collapsed="false">
      <c r="A500" s="8" t="str">
        <f aca="false">HYPERLINK("https://www.fabsurplus.com/sdi_catalog/salesItemDetails.do?id=100603")</f>
        <v>https://www.fabsurplus.com/sdi_catalog/salesItemDetails.do?id=100603</v>
      </c>
      <c r="B500" s="8" t="s">
        <v>1331</v>
      </c>
      <c r="C500" s="8" t="s">
        <v>97</v>
      </c>
      <c r="D500" s="8" t="s">
        <v>1332</v>
      </c>
      <c r="E500" s="8" t="s">
        <v>900</v>
      </c>
      <c r="F500" s="8" t="s">
        <v>742</v>
      </c>
      <c r="G500" s="8" t="s">
        <v>263</v>
      </c>
      <c r="H500" s="8"/>
      <c r="I500" s="8"/>
      <c r="J500" s="8" t="s">
        <v>312</v>
      </c>
      <c r="K500" s="8"/>
    </row>
    <row r="501" customFormat="false" ht="12.8" hidden="false" customHeight="false" outlineLevel="0" collapsed="false">
      <c r="A501" s="6" t="str">
        <f aca="false">HYPERLINK("https://www.fabsurplus.com/sdi_catalog/salesItemDetails.do?id=100604")</f>
        <v>https://www.fabsurplus.com/sdi_catalog/salesItemDetails.do?id=100604</v>
      </c>
      <c r="B501" s="6" t="s">
        <v>1333</v>
      </c>
      <c r="C501" s="6" t="s">
        <v>97</v>
      </c>
      <c r="D501" s="6" t="s">
        <v>1334</v>
      </c>
      <c r="E501" s="6" t="s">
        <v>900</v>
      </c>
      <c r="F501" s="6" t="s">
        <v>673</v>
      </c>
      <c r="G501" s="6" t="s">
        <v>263</v>
      </c>
      <c r="H501" s="6"/>
      <c r="I501" s="6"/>
      <c r="J501" s="6" t="s">
        <v>312</v>
      </c>
      <c r="K501" s="6"/>
    </row>
    <row r="502" customFormat="false" ht="12.8" hidden="false" customHeight="false" outlineLevel="0" collapsed="false">
      <c r="A502" s="8" t="str">
        <f aca="false">HYPERLINK("https://www.fabsurplus.com/sdi_catalog/salesItemDetails.do?id=100605")</f>
        <v>https://www.fabsurplus.com/sdi_catalog/salesItemDetails.do?id=100605</v>
      </c>
      <c r="B502" s="8" t="s">
        <v>1335</v>
      </c>
      <c r="C502" s="8" t="s">
        <v>97</v>
      </c>
      <c r="D502" s="8" t="s">
        <v>1336</v>
      </c>
      <c r="E502" s="8" t="s">
        <v>900</v>
      </c>
      <c r="F502" s="8" t="s">
        <v>913</v>
      </c>
      <c r="G502" s="8" t="s">
        <v>263</v>
      </c>
      <c r="H502" s="8"/>
      <c r="I502" s="8"/>
      <c r="J502" s="8" t="s">
        <v>312</v>
      </c>
      <c r="K502" s="8"/>
    </row>
    <row r="503" customFormat="false" ht="12.8" hidden="false" customHeight="false" outlineLevel="0" collapsed="false">
      <c r="A503" s="6" t="str">
        <f aca="false">HYPERLINK("https://www.fabsurplus.com/sdi_catalog/salesItemDetails.do?id=100606")</f>
        <v>https://www.fabsurplus.com/sdi_catalog/salesItemDetails.do?id=100606</v>
      </c>
      <c r="B503" s="6" t="s">
        <v>1337</v>
      </c>
      <c r="C503" s="6" t="s">
        <v>97</v>
      </c>
      <c r="D503" s="6" t="s">
        <v>1338</v>
      </c>
      <c r="E503" s="6" t="s">
        <v>900</v>
      </c>
      <c r="F503" s="6" t="s">
        <v>913</v>
      </c>
      <c r="G503" s="6" t="s">
        <v>263</v>
      </c>
      <c r="H503" s="6"/>
      <c r="I503" s="6"/>
      <c r="J503" s="6" t="s">
        <v>312</v>
      </c>
      <c r="K503" s="6"/>
    </row>
    <row r="504" customFormat="false" ht="12.8" hidden="false" customHeight="false" outlineLevel="0" collapsed="false">
      <c r="A504" s="8" t="str">
        <f aca="false">HYPERLINK("https://www.fabsurplus.com/sdi_catalog/salesItemDetails.do?id=100607")</f>
        <v>https://www.fabsurplus.com/sdi_catalog/salesItemDetails.do?id=100607</v>
      </c>
      <c r="B504" s="8" t="s">
        <v>1339</v>
      </c>
      <c r="C504" s="8" t="s">
        <v>97</v>
      </c>
      <c r="D504" s="8" t="s">
        <v>1340</v>
      </c>
      <c r="E504" s="8" t="s">
        <v>900</v>
      </c>
      <c r="F504" s="8" t="s">
        <v>745</v>
      </c>
      <c r="G504" s="8" t="s">
        <v>263</v>
      </c>
      <c r="H504" s="8"/>
      <c r="I504" s="8"/>
      <c r="J504" s="8" t="s">
        <v>312</v>
      </c>
      <c r="K504" s="8"/>
    </row>
    <row r="505" customFormat="false" ht="12.8" hidden="false" customHeight="false" outlineLevel="0" collapsed="false">
      <c r="A505" s="8" t="str">
        <f aca="false">HYPERLINK("https://www.fabsurplus.com/sdi_catalog/salesItemDetails.do?id=100608")</f>
        <v>https://www.fabsurplus.com/sdi_catalog/salesItemDetails.do?id=100608</v>
      </c>
      <c r="B505" s="8" t="s">
        <v>1341</v>
      </c>
      <c r="C505" s="8" t="s">
        <v>97</v>
      </c>
      <c r="D505" s="8" t="s">
        <v>1342</v>
      </c>
      <c r="E505" s="8" t="s">
        <v>900</v>
      </c>
      <c r="F505" s="8" t="s">
        <v>745</v>
      </c>
      <c r="G505" s="8" t="s">
        <v>263</v>
      </c>
      <c r="H505" s="8"/>
      <c r="I505" s="8"/>
      <c r="J505" s="8" t="s">
        <v>312</v>
      </c>
      <c r="K505" s="8"/>
    </row>
    <row r="506" customFormat="false" ht="12.8" hidden="false" customHeight="false" outlineLevel="0" collapsed="false">
      <c r="A506" s="8" t="str">
        <f aca="false">HYPERLINK("https://www.fabsurplus.com/sdi_catalog/salesItemDetails.do?id=100609")</f>
        <v>https://www.fabsurplus.com/sdi_catalog/salesItemDetails.do?id=100609</v>
      </c>
      <c r="B506" s="8" t="s">
        <v>1343</v>
      </c>
      <c r="C506" s="8" t="s">
        <v>97</v>
      </c>
      <c r="D506" s="8" t="s">
        <v>1344</v>
      </c>
      <c r="E506" s="8" t="s">
        <v>900</v>
      </c>
      <c r="F506" s="8" t="s">
        <v>745</v>
      </c>
      <c r="G506" s="8" t="s">
        <v>263</v>
      </c>
      <c r="H506" s="8"/>
      <c r="I506" s="8"/>
      <c r="J506" s="8" t="s">
        <v>312</v>
      </c>
      <c r="K506" s="8"/>
    </row>
    <row r="507" customFormat="false" ht="12.8" hidden="false" customHeight="false" outlineLevel="0" collapsed="false">
      <c r="A507" s="6" t="str">
        <f aca="false">HYPERLINK("https://www.fabsurplus.com/sdi_catalog/salesItemDetails.do?id=100610")</f>
        <v>https://www.fabsurplus.com/sdi_catalog/salesItemDetails.do?id=100610</v>
      </c>
      <c r="B507" s="6" t="s">
        <v>1345</v>
      </c>
      <c r="C507" s="6" t="s">
        <v>97</v>
      </c>
      <c r="D507" s="6" t="s">
        <v>1346</v>
      </c>
      <c r="E507" s="6" t="s">
        <v>900</v>
      </c>
      <c r="F507" s="6" t="s">
        <v>626</v>
      </c>
      <c r="G507" s="6" t="s">
        <v>263</v>
      </c>
      <c r="H507" s="6"/>
      <c r="I507" s="6"/>
      <c r="J507" s="6" t="s">
        <v>312</v>
      </c>
      <c r="K507" s="6"/>
    </row>
    <row r="508" customFormat="false" ht="12.8" hidden="false" customHeight="false" outlineLevel="0" collapsed="false">
      <c r="A508" s="8" t="str">
        <f aca="false">HYPERLINK("https://www.fabsurplus.com/sdi_catalog/salesItemDetails.do?id=100611")</f>
        <v>https://www.fabsurplus.com/sdi_catalog/salesItemDetails.do?id=100611</v>
      </c>
      <c r="B508" s="8" t="s">
        <v>1347</v>
      </c>
      <c r="C508" s="8" t="s">
        <v>97</v>
      </c>
      <c r="D508" s="8" t="s">
        <v>1348</v>
      </c>
      <c r="E508" s="8" t="s">
        <v>900</v>
      </c>
      <c r="F508" s="8" t="s">
        <v>626</v>
      </c>
      <c r="G508" s="8" t="s">
        <v>263</v>
      </c>
      <c r="H508" s="8"/>
      <c r="I508" s="8"/>
      <c r="J508" s="8" t="s">
        <v>312</v>
      </c>
      <c r="K508" s="8"/>
    </row>
    <row r="509" customFormat="false" ht="12.8" hidden="false" customHeight="false" outlineLevel="0" collapsed="false">
      <c r="A509" s="8" t="str">
        <f aca="false">HYPERLINK("https://www.fabsurplus.com/sdi_catalog/salesItemDetails.do?id=100612")</f>
        <v>https://www.fabsurplus.com/sdi_catalog/salesItemDetails.do?id=100612</v>
      </c>
      <c r="B509" s="8" t="s">
        <v>1349</v>
      </c>
      <c r="C509" s="8" t="s">
        <v>97</v>
      </c>
      <c r="D509" s="8" t="s">
        <v>1350</v>
      </c>
      <c r="E509" s="8" t="s">
        <v>900</v>
      </c>
      <c r="F509" s="8" t="s">
        <v>245</v>
      </c>
      <c r="G509" s="8" t="s">
        <v>263</v>
      </c>
      <c r="H509" s="8"/>
      <c r="I509" s="8"/>
      <c r="J509" s="8" t="s">
        <v>312</v>
      </c>
      <c r="K509" s="8"/>
    </row>
    <row r="510" customFormat="false" ht="12.8" hidden="false" customHeight="false" outlineLevel="0" collapsed="false">
      <c r="A510" s="8" t="str">
        <f aca="false">HYPERLINK("https://www.fabsurplus.com/sdi_catalog/salesItemDetails.do?id=100496")</f>
        <v>https://www.fabsurplus.com/sdi_catalog/salesItemDetails.do?id=100496</v>
      </c>
      <c r="B510" s="8" t="s">
        <v>1351</v>
      </c>
      <c r="C510" s="8" t="s">
        <v>97</v>
      </c>
      <c r="D510" s="8" t="s">
        <v>1352</v>
      </c>
      <c r="E510" s="8" t="s">
        <v>955</v>
      </c>
      <c r="F510" s="8" t="s">
        <v>913</v>
      </c>
      <c r="G510" s="8" t="s">
        <v>263</v>
      </c>
      <c r="H510" s="8"/>
      <c r="I510" s="8"/>
      <c r="J510" s="8" t="s">
        <v>312</v>
      </c>
      <c r="K510" s="8"/>
    </row>
    <row r="511" customFormat="false" ht="12.8" hidden="false" customHeight="false" outlineLevel="0" collapsed="false">
      <c r="A511" s="8" t="str">
        <f aca="false">HYPERLINK("https://www.fabsurplus.com/sdi_catalog/salesItemDetails.do?id=100497")</f>
        <v>https://www.fabsurplus.com/sdi_catalog/salesItemDetails.do?id=100497</v>
      </c>
      <c r="B511" s="8" t="s">
        <v>1353</v>
      </c>
      <c r="C511" s="8" t="s">
        <v>97</v>
      </c>
      <c r="D511" s="8" t="s">
        <v>1354</v>
      </c>
      <c r="E511" s="8" t="s">
        <v>955</v>
      </c>
      <c r="F511" s="8" t="s">
        <v>611</v>
      </c>
      <c r="G511" s="8" t="s">
        <v>263</v>
      </c>
      <c r="H511" s="8"/>
      <c r="I511" s="8"/>
      <c r="J511" s="8" t="s">
        <v>312</v>
      </c>
      <c r="K511" s="8"/>
    </row>
    <row r="512" customFormat="false" ht="12.8" hidden="false" customHeight="false" outlineLevel="0" collapsed="false">
      <c r="A512" s="8" t="str">
        <f aca="false">HYPERLINK("https://www.fabsurplus.com/sdi_catalog/salesItemDetails.do?id=100498")</f>
        <v>https://www.fabsurplus.com/sdi_catalog/salesItemDetails.do?id=100498</v>
      </c>
      <c r="B512" s="8" t="s">
        <v>1355</v>
      </c>
      <c r="C512" s="8" t="s">
        <v>97</v>
      </c>
      <c r="D512" s="8" t="s">
        <v>1356</v>
      </c>
      <c r="E512" s="8" t="s">
        <v>955</v>
      </c>
      <c r="F512" s="8" t="s">
        <v>913</v>
      </c>
      <c r="G512" s="8" t="s">
        <v>263</v>
      </c>
      <c r="H512" s="8"/>
      <c r="I512" s="8"/>
      <c r="J512" s="8" t="s">
        <v>312</v>
      </c>
      <c r="K512" s="8"/>
    </row>
    <row r="513" customFormat="false" ht="12.8" hidden="false" customHeight="false" outlineLevel="0" collapsed="false">
      <c r="A513" s="6" t="str">
        <f aca="false">HYPERLINK("https://www.fabsurplus.com/sdi_catalog/salesItemDetails.do?id=100613")</f>
        <v>https://www.fabsurplus.com/sdi_catalog/salesItemDetails.do?id=100613</v>
      </c>
      <c r="B513" s="6" t="s">
        <v>1357</v>
      </c>
      <c r="C513" s="6" t="s">
        <v>97</v>
      </c>
      <c r="D513" s="6" t="s">
        <v>1358</v>
      </c>
      <c r="E513" s="6" t="s">
        <v>900</v>
      </c>
      <c r="F513" s="6" t="s">
        <v>742</v>
      </c>
      <c r="G513" s="6" t="s">
        <v>263</v>
      </c>
      <c r="H513" s="6"/>
      <c r="I513" s="6"/>
      <c r="J513" s="6" t="s">
        <v>312</v>
      </c>
      <c r="K513" s="6"/>
    </row>
    <row r="514" customFormat="false" ht="12.8" hidden="false" customHeight="false" outlineLevel="0" collapsed="false">
      <c r="A514" s="6" t="str">
        <f aca="false">HYPERLINK("https://www.fabsurplus.com/sdi_catalog/salesItemDetails.do?id=100614")</f>
        <v>https://www.fabsurplus.com/sdi_catalog/salesItemDetails.do?id=100614</v>
      </c>
      <c r="B514" s="6" t="s">
        <v>1359</v>
      </c>
      <c r="C514" s="6" t="s">
        <v>97</v>
      </c>
      <c r="D514" s="6" t="s">
        <v>1360</v>
      </c>
      <c r="E514" s="6" t="s">
        <v>900</v>
      </c>
      <c r="F514" s="6" t="s">
        <v>626</v>
      </c>
      <c r="G514" s="6" t="s">
        <v>263</v>
      </c>
      <c r="H514" s="6"/>
      <c r="I514" s="6"/>
      <c r="J514" s="6" t="s">
        <v>312</v>
      </c>
      <c r="K514" s="6"/>
    </row>
    <row r="515" customFormat="false" ht="12.8" hidden="false" customHeight="false" outlineLevel="0" collapsed="false">
      <c r="A515" s="6" t="str">
        <f aca="false">HYPERLINK("https://www.fabsurplus.com/sdi_catalog/salesItemDetails.do?id=100615")</f>
        <v>https://www.fabsurplus.com/sdi_catalog/salesItemDetails.do?id=100615</v>
      </c>
      <c r="B515" s="6" t="s">
        <v>1361</v>
      </c>
      <c r="C515" s="6" t="s">
        <v>97</v>
      </c>
      <c r="D515" s="6" t="s">
        <v>1362</v>
      </c>
      <c r="E515" s="6" t="s">
        <v>900</v>
      </c>
      <c r="F515" s="6" t="s">
        <v>626</v>
      </c>
      <c r="G515" s="6" t="s">
        <v>263</v>
      </c>
      <c r="H515" s="6"/>
      <c r="I515" s="6"/>
      <c r="J515" s="6" t="s">
        <v>312</v>
      </c>
      <c r="K515" s="6"/>
    </row>
    <row r="516" customFormat="false" ht="12.8" hidden="false" customHeight="false" outlineLevel="0" collapsed="false">
      <c r="A516" s="6" t="str">
        <f aca="false">HYPERLINK("https://www.fabsurplus.com/sdi_catalog/salesItemDetails.do?id=100616")</f>
        <v>https://www.fabsurplus.com/sdi_catalog/salesItemDetails.do?id=100616</v>
      </c>
      <c r="B516" s="6" t="s">
        <v>1363</v>
      </c>
      <c r="C516" s="6" t="s">
        <v>97</v>
      </c>
      <c r="D516" s="6" t="s">
        <v>1364</v>
      </c>
      <c r="E516" s="6" t="s">
        <v>900</v>
      </c>
      <c r="F516" s="6" t="s">
        <v>742</v>
      </c>
      <c r="G516" s="6" t="s">
        <v>263</v>
      </c>
      <c r="H516" s="6"/>
      <c r="I516" s="6"/>
      <c r="J516" s="6" t="s">
        <v>312</v>
      </c>
      <c r="K516" s="6"/>
    </row>
    <row r="517" customFormat="false" ht="12.8" hidden="false" customHeight="false" outlineLevel="0" collapsed="false">
      <c r="A517" s="8" t="str">
        <f aca="false">HYPERLINK("https://www.fabsurplus.com/sdi_catalog/salesItemDetails.do?id=100617")</f>
        <v>https://www.fabsurplus.com/sdi_catalog/salesItemDetails.do?id=100617</v>
      </c>
      <c r="B517" s="8" t="s">
        <v>1365</v>
      </c>
      <c r="C517" s="8" t="s">
        <v>97</v>
      </c>
      <c r="D517" s="8" t="s">
        <v>1366</v>
      </c>
      <c r="E517" s="8" t="s">
        <v>900</v>
      </c>
      <c r="F517" s="8" t="s">
        <v>913</v>
      </c>
      <c r="G517" s="8" t="s">
        <v>263</v>
      </c>
      <c r="H517" s="8"/>
      <c r="I517" s="8"/>
      <c r="J517" s="8" t="s">
        <v>312</v>
      </c>
      <c r="K517" s="8"/>
    </row>
    <row r="518" customFormat="false" ht="12.8" hidden="false" customHeight="false" outlineLevel="0" collapsed="false">
      <c r="A518" s="8" t="str">
        <f aca="false">HYPERLINK("https://www.fabsurplus.com/sdi_catalog/salesItemDetails.do?id=100618")</f>
        <v>https://www.fabsurplus.com/sdi_catalog/salesItemDetails.do?id=100618</v>
      </c>
      <c r="B518" s="8" t="s">
        <v>1367</v>
      </c>
      <c r="C518" s="8" t="s">
        <v>97</v>
      </c>
      <c r="D518" s="8" t="s">
        <v>1368</v>
      </c>
      <c r="E518" s="8" t="s">
        <v>900</v>
      </c>
      <c r="F518" s="8" t="s">
        <v>626</v>
      </c>
      <c r="G518" s="8" t="s">
        <v>263</v>
      </c>
      <c r="H518" s="8"/>
      <c r="I518" s="8"/>
      <c r="J518" s="8" t="s">
        <v>312</v>
      </c>
      <c r="K518" s="8"/>
    </row>
    <row r="519" customFormat="false" ht="12.8" hidden="false" customHeight="false" outlineLevel="0" collapsed="false">
      <c r="A519" s="6" t="str">
        <f aca="false">HYPERLINK("https://www.fabsurplus.com/sdi_catalog/salesItemDetails.do?id=100449")</f>
        <v>https://www.fabsurplus.com/sdi_catalog/salesItemDetails.do?id=100449</v>
      </c>
      <c r="B519" s="6" t="s">
        <v>1369</v>
      </c>
      <c r="C519" s="6" t="s">
        <v>97</v>
      </c>
      <c r="D519" s="6" t="s">
        <v>1370</v>
      </c>
      <c r="E519" s="6" t="s">
        <v>1005</v>
      </c>
      <c r="F519" s="6" t="s">
        <v>16</v>
      </c>
      <c r="G519" s="6" t="s">
        <v>263</v>
      </c>
      <c r="H519" s="6"/>
      <c r="I519" s="6"/>
      <c r="J519" s="6" t="s">
        <v>312</v>
      </c>
      <c r="K519" s="6"/>
    </row>
    <row r="520" customFormat="false" ht="12.8" hidden="false" customHeight="false" outlineLevel="0" collapsed="false">
      <c r="A520" s="8" t="str">
        <f aca="false">HYPERLINK("https://www.fabsurplus.com/sdi_catalog/salesItemDetails.do?id=100450")</f>
        <v>https://www.fabsurplus.com/sdi_catalog/salesItemDetails.do?id=100450</v>
      </c>
      <c r="B520" s="8" t="s">
        <v>1371</v>
      </c>
      <c r="C520" s="8" t="s">
        <v>97</v>
      </c>
      <c r="D520" s="8" t="s">
        <v>1372</v>
      </c>
      <c r="E520" s="8" t="s">
        <v>1005</v>
      </c>
      <c r="F520" s="8" t="s">
        <v>16</v>
      </c>
      <c r="G520" s="8" t="s">
        <v>263</v>
      </c>
      <c r="H520" s="8"/>
      <c r="I520" s="8"/>
      <c r="J520" s="8" t="s">
        <v>312</v>
      </c>
      <c r="K520" s="8"/>
    </row>
    <row r="521" customFormat="false" ht="12.8" hidden="false" customHeight="false" outlineLevel="0" collapsed="false">
      <c r="A521" s="8" t="str">
        <f aca="false">HYPERLINK("https://www.fabsurplus.com/sdi_catalog/salesItemDetails.do?id=100499")</f>
        <v>https://www.fabsurplus.com/sdi_catalog/salesItemDetails.do?id=100499</v>
      </c>
      <c r="B521" s="8" t="s">
        <v>1373</v>
      </c>
      <c r="C521" s="8" t="s">
        <v>97</v>
      </c>
      <c r="D521" s="8" t="s">
        <v>1374</v>
      </c>
      <c r="E521" s="8" t="s">
        <v>955</v>
      </c>
      <c r="F521" s="8" t="s">
        <v>611</v>
      </c>
      <c r="G521" s="8" t="s">
        <v>263</v>
      </c>
      <c r="H521" s="8"/>
      <c r="I521" s="8"/>
      <c r="J521" s="8" t="s">
        <v>312</v>
      </c>
      <c r="K521" s="8"/>
    </row>
    <row r="522" customFormat="false" ht="12.8" hidden="false" customHeight="false" outlineLevel="0" collapsed="false">
      <c r="A522" s="8" t="str">
        <f aca="false">HYPERLINK("https://www.fabsurplus.com/sdi_catalog/salesItemDetails.do?id=100500")</f>
        <v>https://www.fabsurplus.com/sdi_catalog/salesItemDetails.do?id=100500</v>
      </c>
      <c r="B522" s="8" t="s">
        <v>1375</v>
      </c>
      <c r="C522" s="8" t="s">
        <v>97</v>
      </c>
      <c r="D522" s="8" t="s">
        <v>1376</v>
      </c>
      <c r="E522" s="8" t="s">
        <v>955</v>
      </c>
      <c r="F522" s="8" t="s">
        <v>742</v>
      </c>
      <c r="G522" s="8" t="s">
        <v>263</v>
      </c>
      <c r="H522" s="8"/>
      <c r="I522" s="8"/>
      <c r="J522" s="8" t="s">
        <v>312</v>
      </c>
      <c r="K522" s="8"/>
    </row>
    <row r="523" customFormat="false" ht="12.8" hidden="false" customHeight="false" outlineLevel="0" collapsed="false">
      <c r="A523" s="8" t="str">
        <f aca="false">HYPERLINK("https://www.fabsurplus.com/sdi_catalog/salesItemDetails.do?id=100501")</f>
        <v>https://www.fabsurplus.com/sdi_catalog/salesItemDetails.do?id=100501</v>
      </c>
      <c r="B523" s="8" t="s">
        <v>1377</v>
      </c>
      <c r="C523" s="8" t="s">
        <v>97</v>
      </c>
      <c r="D523" s="8" t="s">
        <v>1378</v>
      </c>
      <c r="E523" s="8" t="s">
        <v>955</v>
      </c>
      <c r="F523" s="8" t="s">
        <v>626</v>
      </c>
      <c r="G523" s="8" t="s">
        <v>263</v>
      </c>
      <c r="H523" s="8"/>
      <c r="I523" s="8"/>
      <c r="J523" s="8" t="s">
        <v>312</v>
      </c>
      <c r="K523" s="8"/>
    </row>
    <row r="524" customFormat="false" ht="12.8" hidden="false" customHeight="false" outlineLevel="0" collapsed="false">
      <c r="A524" s="6" t="str">
        <f aca="false">HYPERLINK("https://www.fabsurplus.com/sdi_catalog/salesItemDetails.do?id=100451")</f>
        <v>https://www.fabsurplus.com/sdi_catalog/salesItemDetails.do?id=100451</v>
      </c>
      <c r="B524" s="6" t="s">
        <v>1379</v>
      </c>
      <c r="C524" s="6" t="s">
        <v>97</v>
      </c>
      <c r="D524" s="6" t="s">
        <v>1380</v>
      </c>
      <c r="E524" s="6" t="s">
        <v>1005</v>
      </c>
      <c r="F524" s="6" t="s">
        <v>16</v>
      </c>
      <c r="G524" s="6" t="s">
        <v>263</v>
      </c>
      <c r="H524" s="6"/>
      <c r="I524" s="6"/>
      <c r="J524" s="6" t="s">
        <v>312</v>
      </c>
      <c r="K524" s="6"/>
    </row>
    <row r="525" customFormat="false" ht="12.8" hidden="false" customHeight="false" outlineLevel="0" collapsed="false">
      <c r="A525" s="8" t="str">
        <f aca="false">HYPERLINK("https://www.fabsurplus.com/sdi_catalog/salesItemDetails.do?id=100452")</f>
        <v>https://www.fabsurplus.com/sdi_catalog/salesItemDetails.do?id=100452</v>
      </c>
      <c r="B525" s="8" t="s">
        <v>1381</v>
      </c>
      <c r="C525" s="8" t="s">
        <v>97</v>
      </c>
      <c r="D525" s="8" t="s">
        <v>1382</v>
      </c>
      <c r="E525" s="8" t="s">
        <v>1005</v>
      </c>
      <c r="F525" s="8" t="s">
        <v>16</v>
      </c>
      <c r="G525" s="8" t="s">
        <v>263</v>
      </c>
      <c r="H525" s="8"/>
      <c r="I525" s="8"/>
      <c r="J525" s="8" t="s">
        <v>312</v>
      </c>
      <c r="K525" s="8"/>
    </row>
    <row r="526" customFormat="false" ht="12.8" hidden="false" customHeight="false" outlineLevel="0" collapsed="false">
      <c r="A526" s="8" t="str">
        <f aca="false">HYPERLINK("https://www.fabsurplus.com/sdi_catalog/salesItemDetails.do?id=100502")</f>
        <v>https://www.fabsurplus.com/sdi_catalog/salesItemDetails.do?id=100502</v>
      </c>
      <c r="B526" s="8" t="s">
        <v>1383</v>
      </c>
      <c r="C526" s="8" t="s">
        <v>97</v>
      </c>
      <c r="D526" s="8" t="s">
        <v>1384</v>
      </c>
      <c r="E526" s="8" t="s">
        <v>955</v>
      </c>
      <c r="F526" s="8" t="s">
        <v>742</v>
      </c>
      <c r="G526" s="8" t="s">
        <v>263</v>
      </c>
      <c r="H526" s="8"/>
      <c r="I526" s="8"/>
      <c r="J526" s="8" t="s">
        <v>312</v>
      </c>
      <c r="K526" s="8"/>
    </row>
    <row r="527" customFormat="false" ht="12.8" hidden="false" customHeight="false" outlineLevel="0" collapsed="false">
      <c r="A527" s="6" t="str">
        <f aca="false">HYPERLINK("https://www.fabsurplus.com/sdi_catalog/salesItemDetails.do?id=100503")</f>
        <v>https://www.fabsurplus.com/sdi_catalog/salesItemDetails.do?id=100503</v>
      </c>
      <c r="B527" s="6" t="s">
        <v>1385</v>
      </c>
      <c r="C527" s="6" t="s">
        <v>97</v>
      </c>
      <c r="D527" s="6" t="s">
        <v>1386</v>
      </c>
      <c r="E527" s="6" t="s">
        <v>955</v>
      </c>
      <c r="F527" s="6" t="s">
        <v>913</v>
      </c>
      <c r="G527" s="6" t="s">
        <v>263</v>
      </c>
      <c r="H527" s="6"/>
      <c r="I527" s="6"/>
      <c r="J527" s="6" t="s">
        <v>312</v>
      </c>
      <c r="K527" s="6"/>
    </row>
    <row r="528" customFormat="false" ht="12.8" hidden="false" customHeight="false" outlineLevel="0" collapsed="false">
      <c r="A528" s="6" t="str">
        <f aca="false">HYPERLINK("https://www.fabsurplus.com/sdi_catalog/salesItemDetails.do?id=100505")</f>
        <v>https://www.fabsurplus.com/sdi_catalog/salesItemDetails.do?id=100505</v>
      </c>
      <c r="B528" s="6" t="s">
        <v>1387</v>
      </c>
      <c r="C528" s="6" t="s">
        <v>97</v>
      </c>
      <c r="D528" s="6" t="s">
        <v>1388</v>
      </c>
      <c r="E528" s="6" t="s">
        <v>955</v>
      </c>
      <c r="F528" s="6" t="s">
        <v>16</v>
      </c>
      <c r="G528" s="6" t="s">
        <v>263</v>
      </c>
      <c r="H528" s="6"/>
      <c r="I528" s="6"/>
      <c r="J528" s="6" t="s">
        <v>312</v>
      </c>
      <c r="K528" s="6"/>
    </row>
    <row r="529" customFormat="false" ht="12.8" hidden="false" customHeight="false" outlineLevel="0" collapsed="false">
      <c r="A529" s="6" t="str">
        <f aca="false">HYPERLINK("https://www.fabsurplus.com/sdi_catalog/salesItemDetails.do?id=100504")</f>
        <v>https://www.fabsurplus.com/sdi_catalog/salesItemDetails.do?id=100504</v>
      </c>
      <c r="B529" s="6" t="s">
        <v>1389</v>
      </c>
      <c r="C529" s="6" t="s">
        <v>97</v>
      </c>
      <c r="D529" s="6" t="s">
        <v>1388</v>
      </c>
      <c r="E529" s="6" t="s">
        <v>955</v>
      </c>
      <c r="F529" s="6" t="s">
        <v>211</v>
      </c>
      <c r="G529" s="6" t="s">
        <v>263</v>
      </c>
      <c r="H529" s="6"/>
      <c r="I529" s="6"/>
      <c r="J529" s="6" t="s">
        <v>312</v>
      </c>
      <c r="K529" s="6"/>
    </row>
    <row r="530" customFormat="false" ht="12.8" hidden="false" customHeight="false" outlineLevel="0" collapsed="false">
      <c r="A530" s="6" t="str">
        <f aca="false">HYPERLINK("https://www.fabsurplus.com/sdi_catalog/salesItemDetails.do?id=100506")</f>
        <v>https://www.fabsurplus.com/sdi_catalog/salesItemDetails.do?id=100506</v>
      </c>
      <c r="B530" s="6" t="s">
        <v>1390</v>
      </c>
      <c r="C530" s="6" t="s">
        <v>97</v>
      </c>
      <c r="D530" s="6" t="s">
        <v>1391</v>
      </c>
      <c r="E530" s="6" t="s">
        <v>955</v>
      </c>
      <c r="F530" s="6" t="s">
        <v>611</v>
      </c>
      <c r="G530" s="6" t="s">
        <v>263</v>
      </c>
      <c r="H530" s="6"/>
      <c r="I530" s="6"/>
      <c r="J530" s="6" t="s">
        <v>312</v>
      </c>
      <c r="K530" s="6"/>
    </row>
    <row r="531" customFormat="false" ht="12.8" hidden="false" customHeight="false" outlineLevel="0" collapsed="false">
      <c r="A531" s="8" t="str">
        <f aca="false">HYPERLINK("https://www.fabsurplus.com/sdi_catalog/salesItemDetails.do?id=100619")</f>
        <v>https://www.fabsurplus.com/sdi_catalog/salesItemDetails.do?id=100619</v>
      </c>
      <c r="B531" s="8" t="s">
        <v>1392</v>
      </c>
      <c r="C531" s="8" t="s">
        <v>97</v>
      </c>
      <c r="D531" s="8" t="s">
        <v>1393</v>
      </c>
      <c r="E531" s="8" t="s">
        <v>1163</v>
      </c>
      <c r="F531" s="8" t="s">
        <v>745</v>
      </c>
      <c r="G531" s="8" t="s">
        <v>263</v>
      </c>
      <c r="H531" s="8"/>
      <c r="I531" s="8"/>
      <c r="J531" s="8" t="s">
        <v>312</v>
      </c>
      <c r="K531" s="8"/>
    </row>
    <row r="532" customFormat="false" ht="12.8" hidden="false" customHeight="false" outlineLevel="0" collapsed="false">
      <c r="A532" s="8" t="str">
        <f aca="false">HYPERLINK("https://www.fabsurplus.com/sdi_catalog/salesItemDetails.do?id=100507")</f>
        <v>https://www.fabsurplus.com/sdi_catalog/salesItemDetails.do?id=100507</v>
      </c>
      <c r="B532" s="8" t="s">
        <v>1394</v>
      </c>
      <c r="C532" s="8" t="s">
        <v>97</v>
      </c>
      <c r="D532" s="8" t="s">
        <v>1395</v>
      </c>
      <c r="E532" s="8" t="s">
        <v>955</v>
      </c>
      <c r="F532" s="8" t="s">
        <v>913</v>
      </c>
      <c r="G532" s="8" t="s">
        <v>263</v>
      </c>
      <c r="H532" s="8"/>
      <c r="I532" s="8"/>
      <c r="J532" s="8" t="s">
        <v>312</v>
      </c>
      <c r="K532" s="8"/>
    </row>
    <row r="533" customFormat="false" ht="12.8" hidden="false" customHeight="false" outlineLevel="0" collapsed="false">
      <c r="A533" s="8" t="str">
        <f aca="false">HYPERLINK("https://www.fabsurplus.com/sdi_catalog/salesItemDetails.do?id=100508")</f>
        <v>https://www.fabsurplus.com/sdi_catalog/salesItemDetails.do?id=100508</v>
      </c>
      <c r="B533" s="8" t="s">
        <v>1396</v>
      </c>
      <c r="C533" s="8" t="s">
        <v>97</v>
      </c>
      <c r="D533" s="8" t="s">
        <v>1397</v>
      </c>
      <c r="E533" s="8" t="s">
        <v>955</v>
      </c>
      <c r="F533" s="8" t="s">
        <v>742</v>
      </c>
      <c r="G533" s="8" t="s">
        <v>263</v>
      </c>
      <c r="H533" s="8"/>
      <c r="I533" s="8"/>
      <c r="J533" s="8" t="s">
        <v>312</v>
      </c>
      <c r="K533" s="8"/>
    </row>
    <row r="534" customFormat="false" ht="12.8" hidden="false" customHeight="false" outlineLevel="0" collapsed="false">
      <c r="A534" s="6" t="str">
        <f aca="false">HYPERLINK("https://www.fabsurplus.com/sdi_catalog/salesItemDetails.do?id=100453")</f>
        <v>https://www.fabsurplus.com/sdi_catalog/salesItemDetails.do?id=100453</v>
      </c>
      <c r="B534" s="6" t="s">
        <v>1398</v>
      </c>
      <c r="C534" s="6" t="s">
        <v>97</v>
      </c>
      <c r="D534" s="6" t="s">
        <v>1399</v>
      </c>
      <c r="E534" s="6" t="s">
        <v>1005</v>
      </c>
      <c r="F534" s="6" t="s">
        <v>16</v>
      </c>
      <c r="G534" s="6" t="s">
        <v>263</v>
      </c>
      <c r="H534" s="6"/>
      <c r="I534" s="6"/>
      <c r="J534" s="6" t="s">
        <v>312</v>
      </c>
      <c r="K534" s="6"/>
    </row>
    <row r="535" customFormat="false" ht="12.8" hidden="false" customHeight="false" outlineLevel="0" collapsed="false">
      <c r="A535" s="6" t="str">
        <f aca="false">HYPERLINK("https://www.fabsurplus.com/sdi_catalog/salesItemDetails.do?id=100509")</f>
        <v>https://www.fabsurplus.com/sdi_catalog/salesItemDetails.do?id=100509</v>
      </c>
      <c r="B535" s="6" t="s">
        <v>1400</v>
      </c>
      <c r="C535" s="6" t="s">
        <v>97</v>
      </c>
      <c r="D535" s="6" t="s">
        <v>1401</v>
      </c>
      <c r="E535" s="6" t="s">
        <v>955</v>
      </c>
      <c r="F535" s="6" t="s">
        <v>913</v>
      </c>
      <c r="G535" s="6" t="s">
        <v>263</v>
      </c>
      <c r="H535" s="6"/>
      <c r="I535" s="6"/>
      <c r="J535" s="6" t="s">
        <v>312</v>
      </c>
      <c r="K535" s="6"/>
    </row>
    <row r="536" customFormat="false" ht="12.8" hidden="false" customHeight="false" outlineLevel="0" collapsed="false">
      <c r="A536" s="6" t="str">
        <f aca="false">HYPERLINK("https://www.fabsurplus.com/sdi_catalog/salesItemDetails.do?id=100444")</f>
        <v>https://www.fabsurplus.com/sdi_catalog/salesItemDetails.do?id=100444</v>
      </c>
      <c r="B536" s="6" t="s">
        <v>1402</v>
      </c>
      <c r="C536" s="6" t="s">
        <v>97</v>
      </c>
      <c r="D536" s="6" t="s">
        <v>1403</v>
      </c>
      <c r="E536" s="6" t="s">
        <v>1158</v>
      </c>
      <c r="F536" s="6" t="s">
        <v>611</v>
      </c>
      <c r="G536" s="6" t="s">
        <v>263</v>
      </c>
      <c r="H536" s="6"/>
      <c r="I536" s="6"/>
      <c r="J536" s="6" t="s">
        <v>312</v>
      </c>
      <c r="K536" s="6"/>
    </row>
    <row r="537" customFormat="false" ht="12.8" hidden="false" customHeight="false" outlineLevel="0" collapsed="false">
      <c r="A537" s="8" t="str">
        <f aca="false">HYPERLINK("https://www.fabsurplus.com/sdi_catalog/salesItemDetails.do?id=100454")</f>
        <v>https://www.fabsurplus.com/sdi_catalog/salesItemDetails.do?id=100454</v>
      </c>
      <c r="B537" s="8" t="s">
        <v>1404</v>
      </c>
      <c r="C537" s="8" t="s">
        <v>97</v>
      </c>
      <c r="D537" s="8" t="s">
        <v>1405</v>
      </c>
      <c r="E537" s="8" t="s">
        <v>1005</v>
      </c>
      <c r="F537" s="8" t="s">
        <v>16</v>
      </c>
      <c r="G537" s="8" t="s">
        <v>263</v>
      </c>
      <c r="H537" s="8"/>
      <c r="I537" s="8"/>
      <c r="J537" s="8" t="s">
        <v>312</v>
      </c>
      <c r="K537" s="8"/>
    </row>
    <row r="538" customFormat="false" ht="12.8" hidden="false" customHeight="false" outlineLevel="0" collapsed="false">
      <c r="A538" s="6" t="str">
        <f aca="false">HYPERLINK("https://www.fabsurplus.com/sdi_catalog/salesItemDetails.do?id=100445")</f>
        <v>https://www.fabsurplus.com/sdi_catalog/salesItemDetails.do?id=100445</v>
      </c>
      <c r="B538" s="6" t="s">
        <v>1406</v>
      </c>
      <c r="C538" s="6" t="s">
        <v>97</v>
      </c>
      <c r="D538" s="6" t="s">
        <v>1407</v>
      </c>
      <c r="E538" s="6" t="s">
        <v>1158</v>
      </c>
      <c r="F538" s="6" t="s">
        <v>611</v>
      </c>
      <c r="G538" s="6" t="s">
        <v>263</v>
      </c>
      <c r="H538" s="6"/>
      <c r="I538" s="6"/>
      <c r="J538" s="6" t="s">
        <v>312</v>
      </c>
      <c r="K538" s="6"/>
    </row>
    <row r="539" customFormat="false" ht="12.8" hidden="false" customHeight="false" outlineLevel="0" collapsed="false">
      <c r="A539" s="8" t="str">
        <f aca="false">HYPERLINK("https://www.fabsurplus.com/sdi_catalog/salesItemDetails.do?id=100624")</f>
        <v>https://www.fabsurplus.com/sdi_catalog/salesItemDetails.do?id=100624</v>
      </c>
      <c r="B539" s="8" t="s">
        <v>1408</v>
      </c>
      <c r="C539" s="8" t="s">
        <v>97</v>
      </c>
      <c r="D539" s="8" t="s">
        <v>1409</v>
      </c>
      <c r="E539" s="8" t="s">
        <v>1066</v>
      </c>
      <c r="F539" s="8" t="s">
        <v>611</v>
      </c>
      <c r="G539" s="8" t="s">
        <v>263</v>
      </c>
      <c r="H539" s="8"/>
      <c r="I539" s="8"/>
      <c r="J539" s="8" t="s">
        <v>312</v>
      </c>
      <c r="K539" s="8"/>
    </row>
    <row r="540" customFormat="false" ht="12.8" hidden="false" customHeight="false" outlineLevel="0" collapsed="false">
      <c r="A540" s="8" t="str">
        <f aca="false">HYPERLINK("https://www.fabsurplus.com/sdi_catalog/salesItemDetails.do?id=100510")</f>
        <v>https://www.fabsurplus.com/sdi_catalog/salesItemDetails.do?id=100510</v>
      </c>
      <c r="B540" s="8" t="s">
        <v>1410</v>
      </c>
      <c r="C540" s="8" t="s">
        <v>97</v>
      </c>
      <c r="D540" s="8" t="s">
        <v>1411</v>
      </c>
      <c r="E540" s="8" t="s">
        <v>955</v>
      </c>
      <c r="F540" s="8" t="s">
        <v>742</v>
      </c>
      <c r="G540" s="8" t="s">
        <v>263</v>
      </c>
      <c r="H540" s="8"/>
      <c r="I540" s="8"/>
      <c r="J540" s="8" t="s">
        <v>312</v>
      </c>
      <c r="K540" s="8"/>
    </row>
    <row r="541" customFormat="false" ht="12.8" hidden="false" customHeight="false" outlineLevel="0" collapsed="false">
      <c r="A541" s="6" t="str">
        <f aca="false">HYPERLINK("https://www.fabsurplus.com/sdi_catalog/salesItemDetails.do?id=100511")</f>
        <v>https://www.fabsurplus.com/sdi_catalog/salesItemDetails.do?id=100511</v>
      </c>
      <c r="B541" s="6" t="s">
        <v>1412</v>
      </c>
      <c r="C541" s="6" t="s">
        <v>97</v>
      </c>
      <c r="D541" s="6" t="s">
        <v>1413</v>
      </c>
      <c r="E541" s="6" t="s">
        <v>955</v>
      </c>
      <c r="F541" s="6" t="s">
        <v>611</v>
      </c>
      <c r="G541" s="6" t="s">
        <v>263</v>
      </c>
      <c r="H541" s="6"/>
      <c r="I541" s="6"/>
      <c r="J541" s="6" t="s">
        <v>312</v>
      </c>
      <c r="K541" s="6"/>
    </row>
    <row r="542" customFormat="false" ht="12.8" hidden="false" customHeight="false" outlineLevel="0" collapsed="false">
      <c r="A542" s="8" t="str">
        <f aca="false">HYPERLINK("https://www.fabsurplus.com/sdi_catalog/salesItemDetails.do?id=100512")</f>
        <v>https://www.fabsurplus.com/sdi_catalog/salesItemDetails.do?id=100512</v>
      </c>
      <c r="B542" s="8" t="s">
        <v>1414</v>
      </c>
      <c r="C542" s="8" t="s">
        <v>97</v>
      </c>
      <c r="D542" s="8" t="s">
        <v>1415</v>
      </c>
      <c r="E542" s="8" t="s">
        <v>955</v>
      </c>
      <c r="F542" s="8" t="s">
        <v>611</v>
      </c>
      <c r="G542" s="8" t="s">
        <v>263</v>
      </c>
      <c r="H542" s="8"/>
      <c r="I542" s="8"/>
      <c r="J542" s="8" t="s">
        <v>312</v>
      </c>
      <c r="K542" s="8"/>
    </row>
    <row r="543" customFormat="false" ht="12.8" hidden="false" customHeight="false" outlineLevel="0" collapsed="false">
      <c r="A543" s="8" t="str">
        <f aca="false">HYPERLINK("https://www.fabsurplus.com/sdi_catalog/salesItemDetails.do?id=100513")</f>
        <v>https://www.fabsurplus.com/sdi_catalog/salesItemDetails.do?id=100513</v>
      </c>
      <c r="B543" s="8" t="s">
        <v>1416</v>
      </c>
      <c r="C543" s="8" t="s">
        <v>97</v>
      </c>
      <c r="D543" s="8" t="s">
        <v>1417</v>
      </c>
      <c r="E543" s="8" t="s">
        <v>955</v>
      </c>
      <c r="F543" s="8" t="s">
        <v>742</v>
      </c>
      <c r="G543" s="8" t="s">
        <v>263</v>
      </c>
      <c r="H543" s="8"/>
      <c r="I543" s="8"/>
      <c r="J543" s="8" t="s">
        <v>312</v>
      </c>
      <c r="K543" s="8"/>
    </row>
    <row r="544" customFormat="false" ht="12.8" hidden="false" customHeight="false" outlineLevel="0" collapsed="false">
      <c r="A544" s="8" t="str">
        <f aca="false">HYPERLINK("https://www.fabsurplus.com/sdi_catalog/salesItemDetails.do?id=100514")</f>
        <v>https://www.fabsurplus.com/sdi_catalog/salesItemDetails.do?id=100514</v>
      </c>
      <c r="B544" s="8" t="s">
        <v>1418</v>
      </c>
      <c r="C544" s="8" t="s">
        <v>97</v>
      </c>
      <c r="D544" s="8" t="s">
        <v>1419</v>
      </c>
      <c r="E544" s="8" t="s">
        <v>955</v>
      </c>
      <c r="F544" s="8" t="s">
        <v>611</v>
      </c>
      <c r="G544" s="8" t="s">
        <v>263</v>
      </c>
      <c r="H544" s="8"/>
      <c r="I544" s="8"/>
      <c r="J544" s="8" t="s">
        <v>312</v>
      </c>
      <c r="K544" s="8"/>
    </row>
    <row r="545" customFormat="false" ht="12.8" hidden="false" customHeight="false" outlineLevel="0" collapsed="false">
      <c r="A545" s="6" t="str">
        <f aca="false">HYPERLINK("https://www.fabsurplus.com/sdi_catalog/salesItemDetails.do?id=100515")</f>
        <v>https://www.fabsurplus.com/sdi_catalog/salesItemDetails.do?id=100515</v>
      </c>
      <c r="B545" s="6" t="s">
        <v>1420</v>
      </c>
      <c r="C545" s="6" t="s">
        <v>97</v>
      </c>
      <c r="D545" s="6" t="s">
        <v>1421</v>
      </c>
      <c r="E545" s="6" t="s">
        <v>955</v>
      </c>
      <c r="F545" s="6" t="s">
        <v>611</v>
      </c>
      <c r="G545" s="6" t="s">
        <v>263</v>
      </c>
      <c r="H545" s="6"/>
      <c r="I545" s="6"/>
      <c r="J545" s="6" t="s">
        <v>312</v>
      </c>
      <c r="K545" s="6"/>
    </row>
    <row r="546" customFormat="false" ht="12.8" hidden="false" customHeight="false" outlineLevel="0" collapsed="false">
      <c r="A546" s="6" t="str">
        <f aca="false">HYPERLINK("https://www.fabsurplus.com/sdi_catalog/salesItemDetails.do?id=100757")</f>
        <v>https://www.fabsurplus.com/sdi_catalog/salesItemDetails.do?id=100757</v>
      </c>
      <c r="B546" s="6" t="s">
        <v>1422</v>
      </c>
      <c r="C546" s="6" t="s">
        <v>97</v>
      </c>
      <c r="D546" s="6" t="s">
        <v>1423</v>
      </c>
      <c r="E546" s="6" t="s">
        <v>1424</v>
      </c>
      <c r="F546" s="6" t="s">
        <v>16</v>
      </c>
      <c r="G546" s="6" t="s">
        <v>310</v>
      </c>
      <c r="H546" s="6"/>
      <c r="I546" s="7" t="n">
        <v>39234</v>
      </c>
      <c r="J546" s="6" t="s">
        <v>81</v>
      </c>
      <c r="K546" s="6"/>
    </row>
    <row r="547" customFormat="false" ht="12.8" hidden="false" customHeight="false" outlineLevel="0" collapsed="false">
      <c r="A547" s="6" t="str">
        <f aca="false">HYPERLINK("https://www.fabsurplus.com/sdi_catalog/salesItemDetails.do?id=97520")</f>
        <v>https://www.fabsurplus.com/sdi_catalog/salesItemDetails.do?id=97520</v>
      </c>
      <c r="B547" s="6" t="s">
        <v>1425</v>
      </c>
      <c r="C547" s="6" t="s">
        <v>97</v>
      </c>
      <c r="D547" s="6" t="s">
        <v>1426</v>
      </c>
      <c r="E547" s="6" t="s">
        <v>874</v>
      </c>
      <c r="F547" s="6" t="s">
        <v>16</v>
      </c>
      <c r="G547" s="6" t="s">
        <v>310</v>
      </c>
      <c r="H547" s="6"/>
      <c r="I547" s="6"/>
      <c r="J547" s="6" t="s">
        <v>19</v>
      </c>
      <c r="K547" s="6"/>
    </row>
    <row r="548" customFormat="false" ht="12.8" hidden="false" customHeight="false" outlineLevel="0" collapsed="false">
      <c r="A548" s="6" t="str">
        <f aca="false">HYPERLINK("https://www.fabsurplus.com/sdi_catalog/salesItemDetails.do?id=99910")</f>
        <v>https://www.fabsurplus.com/sdi_catalog/salesItemDetails.do?id=99910</v>
      </c>
      <c r="B548" s="6" t="s">
        <v>1427</v>
      </c>
      <c r="C548" s="6" t="s">
        <v>97</v>
      </c>
      <c r="D548" s="6" t="s">
        <v>1428</v>
      </c>
      <c r="E548" s="6" t="s">
        <v>1429</v>
      </c>
      <c r="F548" s="6" t="s">
        <v>16</v>
      </c>
      <c r="G548" s="6" t="s">
        <v>32</v>
      </c>
      <c r="H548" s="6"/>
      <c r="I548" s="6"/>
      <c r="J548" s="6" t="s">
        <v>19</v>
      </c>
      <c r="K548" s="6"/>
    </row>
    <row r="549" customFormat="false" ht="12.8" hidden="false" customHeight="false" outlineLevel="0" collapsed="false">
      <c r="A549" s="6" t="str">
        <f aca="false">HYPERLINK("https://www.fabsurplus.com/sdi_catalog/salesItemDetails.do?id=99943")</f>
        <v>https://www.fabsurplus.com/sdi_catalog/salesItemDetails.do?id=99943</v>
      </c>
      <c r="B549" s="6" t="s">
        <v>1430</v>
      </c>
      <c r="C549" s="6" t="s">
        <v>97</v>
      </c>
      <c r="D549" s="6" t="s">
        <v>1431</v>
      </c>
      <c r="E549" s="6" t="s">
        <v>1432</v>
      </c>
      <c r="F549" s="6" t="s">
        <v>16</v>
      </c>
      <c r="G549" s="6" t="s">
        <v>32</v>
      </c>
      <c r="H549" s="6"/>
      <c r="I549" s="6"/>
      <c r="J549" s="6" t="s">
        <v>19</v>
      </c>
      <c r="K549" s="6"/>
    </row>
    <row r="550" customFormat="false" ht="12.8" hidden="false" customHeight="false" outlineLevel="0" collapsed="false">
      <c r="A550" s="8" t="str">
        <f aca="false">HYPERLINK("https://www.fabsurplus.com/sdi_catalog/salesItemDetails.do?id=97849")</f>
        <v>https://www.fabsurplus.com/sdi_catalog/salesItemDetails.do?id=97849</v>
      </c>
      <c r="B550" s="8" t="s">
        <v>1433</v>
      </c>
      <c r="C550" s="8" t="s">
        <v>97</v>
      </c>
      <c r="D550" s="8" t="s">
        <v>1434</v>
      </c>
      <c r="E550" s="8" t="s">
        <v>1435</v>
      </c>
      <c r="F550" s="8" t="s">
        <v>16</v>
      </c>
      <c r="G550" s="8" t="s">
        <v>310</v>
      </c>
      <c r="H550" s="8"/>
      <c r="I550" s="9" t="n">
        <v>40330</v>
      </c>
      <c r="J550" s="8" t="s">
        <v>19</v>
      </c>
      <c r="K550" s="8"/>
    </row>
    <row r="551" customFormat="false" ht="12.8" hidden="false" customHeight="false" outlineLevel="0" collapsed="false">
      <c r="A551" s="6" t="str">
        <f aca="false">HYPERLINK("https://www.fabsurplus.com/sdi_catalog/salesItemDetails.do?id=99292")</f>
        <v>https://www.fabsurplus.com/sdi_catalog/salesItemDetails.do?id=99292</v>
      </c>
      <c r="B551" s="6" t="s">
        <v>1436</v>
      </c>
      <c r="C551" s="6" t="s">
        <v>97</v>
      </c>
      <c r="D551" s="6" t="s">
        <v>1437</v>
      </c>
      <c r="E551" s="6" t="s">
        <v>1438</v>
      </c>
      <c r="F551" s="6" t="s">
        <v>16</v>
      </c>
      <c r="G551" s="6" t="s">
        <v>32</v>
      </c>
      <c r="H551" s="6" t="s">
        <v>33</v>
      </c>
      <c r="I551" s="7" t="n">
        <v>35947</v>
      </c>
      <c r="J551" s="6" t="s">
        <v>19</v>
      </c>
      <c r="K551" s="6" t="s">
        <v>20</v>
      </c>
    </row>
    <row r="552" customFormat="false" ht="12.8" hidden="false" customHeight="false" outlineLevel="0" collapsed="false">
      <c r="A552" s="8" t="str">
        <f aca="false">HYPERLINK("https://www.fabsurplus.com/sdi_catalog/salesItemDetails.do?id=98021")</f>
        <v>https://www.fabsurplus.com/sdi_catalog/salesItemDetails.do?id=98021</v>
      </c>
      <c r="B552" s="8" t="s">
        <v>1439</v>
      </c>
      <c r="C552" s="8" t="s">
        <v>97</v>
      </c>
      <c r="D552" s="8" t="s">
        <v>1440</v>
      </c>
      <c r="E552" s="8" t="s">
        <v>1441</v>
      </c>
      <c r="F552" s="8" t="s">
        <v>16</v>
      </c>
      <c r="G552" s="8" t="s">
        <v>32</v>
      </c>
      <c r="H552" s="8"/>
      <c r="I552" s="8"/>
      <c r="J552" s="8" t="s">
        <v>19</v>
      </c>
      <c r="K552" s="8"/>
    </row>
    <row r="553" customFormat="false" ht="12.8" hidden="false" customHeight="false" outlineLevel="0" collapsed="false">
      <c r="A553" s="8" t="str">
        <f aca="false">HYPERLINK("https://www.fabsurplus.com/sdi_catalog/salesItemDetails.do?id=100076")</f>
        <v>https://www.fabsurplus.com/sdi_catalog/salesItemDetails.do?id=100076</v>
      </c>
      <c r="B553" s="8" t="s">
        <v>1442</v>
      </c>
      <c r="C553" s="8" t="s">
        <v>97</v>
      </c>
      <c r="D553" s="8" t="s">
        <v>1443</v>
      </c>
      <c r="E553" s="8" t="s">
        <v>1444</v>
      </c>
      <c r="F553" s="8" t="s">
        <v>16</v>
      </c>
      <c r="G553" s="8" t="s">
        <v>686</v>
      </c>
      <c r="H553" s="8"/>
      <c r="I553" s="9" t="n">
        <v>42156</v>
      </c>
      <c r="J553" s="8" t="s">
        <v>19</v>
      </c>
      <c r="K553" s="8"/>
    </row>
    <row r="554" customFormat="false" ht="12.8" hidden="false" customHeight="false" outlineLevel="0" collapsed="false">
      <c r="A554" s="8" t="str">
        <f aca="false">HYPERLINK("https://www.fabsurplus.com/sdi_catalog/salesItemDetails.do?id=100077")</f>
        <v>https://www.fabsurplus.com/sdi_catalog/salesItemDetails.do?id=100077</v>
      </c>
      <c r="B554" s="8" t="s">
        <v>1445</v>
      </c>
      <c r="C554" s="8" t="s">
        <v>97</v>
      </c>
      <c r="D554" s="8" t="s">
        <v>1446</v>
      </c>
      <c r="E554" s="8" t="s">
        <v>1447</v>
      </c>
      <c r="F554" s="8" t="s">
        <v>16</v>
      </c>
      <c r="G554" s="8" t="s">
        <v>686</v>
      </c>
      <c r="H554" s="8"/>
      <c r="I554" s="9" t="n">
        <v>38504</v>
      </c>
      <c r="J554" s="8" t="s">
        <v>19</v>
      </c>
      <c r="K554" s="8"/>
    </row>
    <row r="555" customFormat="false" ht="12.8" hidden="false" customHeight="false" outlineLevel="0" collapsed="false">
      <c r="A555" s="6" t="str">
        <f aca="false">HYPERLINK("https://www.fabsurplus.com/sdi_catalog/salesItemDetails.do?id=97523")</f>
        <v>https://www.fabsurplus.com/sdi_catalog/salesItemDetails.do?id=97523</v>
      </c>
      <c r="B555" s="6" t="s">
        <v>1448</v>
      </c>
      <c r="C555" s="6" t="s">
        <v>97</v>
      </c>
      <c r="D555" s="6" t="s">
        <v>1449</v>
      </c>
      <c r="E555" s="6" t="s">
        <v>1450</v>
      </c>
      <c r="F555" s="6" t="s">
        <v>16</v>
      </c>
      <c r="G555" s="6" t="s">
        <v>310</v>
      </c>
      <c r="H555" s="6"/>
      <c r="I555" s="6"/>
      <c r="J555" s="6" t="s">
        <v>19</v>
      </c>
      <c r="K555" s="6"/>
    </row>
    <row r="556" customFormat="false" ht="12.8" hidden="false" customHeight="false" outlineLevel="0" collapsed="false">
      <c r="A556" s="8" t="str">
        <f aca="false">HYPERLINK("https://www.fabsurplus.com/sdi_catalog/salesItemDetails.do?id=99088")</f>
        <v>https://www.fabsurplus.com/sdi_catalog/salesItemDetails.do?id=99088</v>
      </c>
      <c r="B556" s="8" t="s">
        <v>1451</v>
      </c>
      <c r="C556" s="8" t="s">
        <v>97</v>
      </c>
      <c r="D556" s="8" t="s">
        <v>1452</v>
      </c>
      <c r="E556" s="8" t="s">
        <v>1432</v>
      </c>
      <c r="F556" s="8" t="s">
        <v>16</v>
      </c>
      <c r="G556" s="8" t="s">
        <v>686</v>
      </c>
      <c r="H556" s="8"/>
      <c r="I556" s="8"/>
      <c r="J556" s="8" t="s">
        <v>19</v>
      </c>
      <c r="K556" s="8"/>
    </row>
    <row r="557" customFormat="false" ht="12.8" hidden="false" customHeight="false" outlineLevel="0" collapsed="false">
      <c r="A557" s="8" t="str">
        <f aca="false">HYPERLINK("https://www.fabsurplus.com/sdi_catalog/salesItemDetails.do?id=96808")</f>
        <v>https://www.fabsurplus.com/sdi_catalog/salesItemDetails.do?id=96808</v>
      </c>
      <c r="B557" s="8" t="s">
        <v>1453</v>
      </c>
      <c r="C557" s="8" t="s">
        <v>97</v>
      </c>
      <c r="D557" s="8" t="s">
        <v>1454</v>
      </c>
      <c r="E557" s="8" t="s">
        <v>1450</v>
      </c>
      <c r="F557" s="8" t="s">
        <v>16</v>
      </c>
      <c r="G557" s="8" t="s">
        <v>1455</v>
      </c>
      <c r="H557" s="8"/>
      <c r="I557" s="9" t="n">
        <v>42005</v>
      </c>
      <c r="J557" s="8" t="s">
        <v>19</v>
      </c>
      <c r="K557" s="8"/>
    </row>
    <row r="558" customFormat="false" ht="12.8" hidden="false" customHeight="false" outlineLevel="0" collapsed="false">
      <c r="A558" s="8" t="str">
        <f aca="false">HYPERLINK("https://www.fabsurplus.com/sdi_catalog/salesItemDetails.do?id=96807")</f>
        <v>https://www.fabsurplus.com/sdi_catalog/salesItemDetails.do?id=96807</v>
      </c>
      <c r="B558" s="8" t="s">
        <v>1456</v>
      </c>
      <c r="C558" s="8" t="s">
        <v>97</v>
      </c>
      <c r="D558" s="8" t="s">
        <v>1454</v>
      </c>
      <c r="E558" s="8" t="s">
        <v>1450</v>
      </c>
      <c r="F558" s="8" t="s">
        <v>16</v>
      </c>
      <c r="G558" s="8" t="s">
        <v>1455</v>
      </c>
      <c r="H558" s="8"/>
      <c r="I558" s="9" t="n">
        <v>42005</v>
      </c>
      <c r="J558" s="8" t="s">
        <v>19</v>
      </c>
      <c r="K558" s="8"/>
    </row>
    <row r="559" customFormat="false" ht="12.8" hidden="false" customHeight="false" outlineLevel="0" collapsed="false">
      <c r="A559" s="6" t="str">
        <f aca="false">HYPERLINK("https://www.fabsurplus.com/sdi_catalog/salesItemDetails.do?id=96806")</f>
        <v>https://www.fabsurplus.com/sdi_catalog/salesItemDetails.do?id=96806</v>
      </c>
      <c r="B559" s="6" t="s">
        <v>1457</v>
      </c>
      <c r="C559" s="6" t="s">
        <v>97</v>
      </c>
      <c r="D559" s="6" t="s">
        <v>1454</v>
      </c>
      <c r="E559" s="6" t="s">
        <v>1450</v>
      </c>
      <c r="F559" s="6" t="s">
        <v>16</v>
      </c>
      <c r="G559" s="6" t="s">
        <v>310</v>
      </c>
      <c r="H559" s="6"/>
      <c r="I559" s="7" t="n">
        <v>42005</v>
      </c>
      <c r="J559" s="6" t="s">
        <v>19</v>
      </c>
      <c r="K559" s="6"/>
    </row>
    <row r="560" customFormat="false" ht="12.8" hidden="false" customHeight="false" outlineLevel="0" collapsed="false">
      <c r="A560" s="6" t="str">
        <f aca="false">HYPERLINK("https://www.fabsurplus.com/sdi_catalog/salesItemDetails.do?id=96805")</f>
        <v>https://www.fabsurplus.com/sdi_catalog/salesItemDetails.do?id=96805</v>
      </c>
      <c r="B560" s="6" t="s">
        <v>1458</v>
      </c>
      <c r="C560" s="6" t="s">
        <v>97</v>
      </c>
      <c r="D560" s="6" t="s">
        <v>1454</v>
      </c>
      <c r="E560" s="6" t="s">
        <v>1450</v>
      </c>
      <c r="F560" s="6" t="s">
        <v>16</v>
      </c>
      <c r="G560" s="6" t="s">
        <v>310</v>
      </c>
      <c r="H560" s="6"/>
      <c r="I560" s="7" t="n">
        <v>42005</v>
      </c>
      <c r="J560" s="6" t="s">
        <v>19</v>
      </c>
      <c r="K560" s="6"/>
    </row>
    <row r="561" customFormat="false" ht="12.8" hidden="false" customHeight="false" outlineLevel="0" collapsed="false">
      <c r="A561" s="6" t="str">
        <f aca="false">HYPERLINK("https://www.fabsurplus.com/sdi_catalog/salesItemDetails.do?id=99090")</f>
        <v>https://www.fabsurplus.com/sdi_catalog/salesItemDetails.do?id=99090</v>
      </c>
      <c r="B561" s="6" t="s">
        <v>1459</v>
      </c>
      <c r="C561" s="6" t="s">
        <v>97</v>
      </c>
      <c r="D561" s="6" t="s">
        <v>1460</v>
      </c>
      <c r="E561" s="6" t="s">
        <v>1432</v>
      </c>
      <c r="F561" s="6" t="s">
        <v>16</v>
      </c>
      <c r="G561" s="6" t="s">
        <v>686</v>
      </c>
      <c r="H561" s="6"/>
      <c r="I561" s="6"/>
      <c r="J561" s="6" t="s">
        <v>19</v>
      </c>
      <c r="K561" s="6"/>
    </row>
    <row r="562" customFormat="false" ht="12.8" hidden="false" customHeight="false" outlineLevel="0" collapsed="false">
      <c r="A562" s="8" t="str">
        <f aca="false">HYPERLINK("https://www.fabsurplus.com/sdi_catalog/salesItemDetails.do?id=99089")</f>
        <v>https://www.fabsurplus.com/sdi_catalog/salesItemDetails.do?id=99089</v>
      </c>
      <c r="B562" s="8" t="s">
        <v>1461</v>
      </c>
      <c r="C562" s="8" t="s">
        <v>97</v>
      </c>
      <c r="D562" s="8" t="s">
        <v>1460</v>
      </c>
      <c r="E562" s="8" t="s">
        <v>1432</v>
      </c>
      <c r="F562" s="8" t="s">
        <v>16</v>
      </c>
      <c r="G562" s="8" t="s">
        <v>686</v>
      </c>
      <c r="H562" s="8"/>
      <c r="I562" s="8"/>
      <c r="J562" s="8" t="s">
        <v>19</v>
      </c>
      <c r="K562" s="8"/>
    </row>
    <row r="563" customFormat="false" ht="12.8" hidden="false" customHeight="false" outlineLevel="0" collapsed="false">
      <c r="A563" s="8" t="str">
        <f aca="false">HYPERLINK("https://www.fabsurplus.com/sdi_catalog/salesItemDetails.do?id=99091")</f>
        <v>https://www.fabsurplus.com/sdi_catalog/salesItemDetails.do?id=99091</v>
      </c>
      <c r="B563" s="8" t="s">
        <v>1462</v>
      </c>
      <c r="C563" s="8" t="s">
        <v>97</v>
      </c>
      <c r="D563" s="8" t="s">
        <v>1463</v>
      </c>
      <c r="E563" s="8" t="s">
        <v>1450</v>
      </c>
      <c r="F563" s="8" t="s">
        <v>16</v>
      </c>
      <c r="G563" s="8" t="s">
        <v>686</v>
      </c>
      <c r="H563" s="8"/>
      <c r="I563" s="9" t="n">
        <v>38838</v>
      </c>
      <c r="J563" s="8" t="s">
        <v>19</v>
      </c>
      <c r="K563" s="8"/>
    </row>
    <row r="564" customFormat="false" ht="12.8" hidden="false" customHeight="false" outlineLevel="0" collapsed="false">
      <c r="A564" s="8" t="str">
        <f aca="false">HYPERLINK("https://www.fabsurplus.com/sdi_catalog/salesItemDetails.do?id=96812")</f>
        <v>https://www.fabsurplus.com/sdi_catalog/salesItemDetails.do?id=96812</v>
      </c>
      <c r="B564" s="8" t="s">
        <v>1464</v>
      </c>
      <c r="C564" s="8" t="s">
        <v>97</v>
      </c>
      <c r="D564" s="8" t="s">
        <v>1465</v>
      </c>
      <c r="E564" s="8" t="s">
        <v>1450</v>
      </c>
      <c r="F564" s="8" t="s">
        <v>16</v>
      </c>
      <c r="G564" s="8" t="s">
        <v>310</v>
      </c>
      <c r="H564" s="8"/>
      <c r="I564" s="8"/>
      <c r="J564" s="8" t="s">
        <v>19</v>
      </c>
      <c r="K564" s="8"/>
    </row>
    <row r="565" customFormat="false" ht="12.8" hidden="false" customHeight="false" outlineLevel="0" collapsed="false">
      <c r="A565" s="8" t="str">
        <f aca="false">HYPERLINK("https://www.fabsurplus.com/sdi_catalog/salesItemDetails.do?id=100078")</f>
        <v>https://www.fabsurplus.com/sdi_catalog/salesItemDetails.do?id=100078</v>
      </c>
      <c r="B565" s="8" t="s">
        <v>1466</v>
      </c>
      <c r="C565" s="8" t="s">
        <v>97</v>
      </c>
      <c r="D565" s="8" t="s">
        <v>1467</v>
      </c>
      <c r="E565" s="8" t="s">
        <v>874</v>
      </c>
      <c r="F565" s="8" t="s">
        <v>16</v>
      </c>
      <c r="G565" s="8" t="s">
        <v>686</v>
      </c>
      <c r="H565" s="8"/>
      <c r="I565" s="8"/>
      <c r="J565" s="8" t="s">
        <v>19</v>
      </c>
      <c r="K565" s="8"/>
    </row>
    <row r="566" customFormat="false" ht="12.8" hidden="false" customHeight="false" outlineLevel="0" collapsed="false">
      <c r="A566" s="6" t="str">
        <f aca="false">HYPERLINK("https://www.fabsurplus.com/sdi_catalog/salesItemDetails.do?id=97527")</f>
        <v>https://www.fabsurplus.com/sdi_catalog/salesItemDetails.do?id=97527</v>
      </c>
      <c r="B566" s="6" t="s">
        <v>1468</v>
      </c>
      <c r="C566" s="6" t="s">
        <v>97</v>
      </c>
      <c r="D566" s="6" t="s">
        <v>1467</v>
      </c>
      <c r="E566" s="6" t="s">
        <v>874</v>
      </c>
      <c r="F566" s="6" t="s">
        <v>16</v>
      </c>
      <c r="G566" s="6" t="s">
        <v>310</v>
      </c>
      <c r="H566" s="6"/>
      <c r="I566" s="6"/>
      <c r="J566" s="6" t="s">
        <v>19</v>
      </c>
      <c r="K566" s="6"/>
    </row>
    <row r="567" customFormat="false" ht="12.8" hidden="false" customHeight="false" outlineLevel="0" collapsed="false">
      <c r="A567" s="6" t="str">
        <f aca="false">HYPERLINK("https://www.fabsurplus.com/sdi_catalog/salesItemDetails.do?id=100079")</f>
        <v>https://www.fabsurplus.com/sdi_catalog/salesItemDetails.do?id=100079</v>
      </c>
      <c r="B567" s="6" t="s">
        <v>1469</v>
      </c>
      <c r="C567" s="6" t="s">
        <v>97</v>
      </c>
      <c r="D567" s="6" t="s">
        <v>1470</v>
      </c>
      <c r="E567" s="6" t="s">
        <v>1471</v>
      </c>
      <c r="F567" s="6" t="s">
        <v>16</v>
      </c>
      <c r="G567" s="6" t="s">
        <v>686</v>
      </c>
      <c r="H567" s="6"/>
      <c r="I567" s="6"/>
      <c r="J567" s="6" t="s">
        <v>19</v>
      </c>
      <c r="K567" s="6"/>
    </row>
    <row r="568" customFormat="false" ht="12.8" hidden="false" customHeight="false" outlineLevel="0" collapsed="false">
      <c r="A568" s="6" t="str">
        <f aca="false">HYPERLINK("https://www.fabsurplus.com/sdi_catalog/salesItemDetails.do?id=97537")</f>
        <v>https://www.fabsurplus.com/sdi_catalog/salesItemDetails.do?id=97537</v>
      </c>
      <c r="B568" s="6" t="s">
        <v>1472</v>
      </c>
      <c r="C568" s="6" t="s">
        <v>97</v>
      </c>
      <c r="D568" s="6" t="s">
        <v>1470</v>
      </c>
      <c r="E568" s="6" t="s">
        <v>1471</v>
      </c>
      <c r="F568" s="6" t="s">
        <v>16</v>
      </c>
      <c r="G568" s="6" t="s">
        <v>310</v>
      </c>
      <c r="H568" s="6"/>
      <c r="I568" s="6"/>
      <c r="J568" s="6" t="s">
        <v>19</v>
      </c>
      <c r="K568" s="6"/>
    </row>
    <row r="569" customFormat="false" ht="12.8" hidden="false" customHeight="false" outlineLevel="0" collapsed="false">
      <c r="A569" s="6" t="str">
        <f aca="false">HYPERLINK("https://www.fabsurplus.com/sdi_catalog/salesItemDetails.do?id=97536")</f>
        <v>https://www.fabsurplus.com/sdi_catalog/salesItemDetails.do?id=97536</v>
      </c>
      <c r="B569" s="6" t="s">
        <v>1473</v>
      </c>
      <c r="C569" s="6" t="s">
        <v>97</v>
      </c>
      <c r="D569" s="6" t="s">
        <v>1470</v>
      </c>
      <c r="E569" s="6" t="s">
        <v>1471</v>
      </c>
      <c r="F569" s="6" t="s">
        <v>16</v>
      </c>
      <c r="G569" s="6" t="s">
        <v>310</v>
      </c>
      <c r="H569" s="6"/>
      <c r="I569" s="6"/>
      <c r="J569" s="6" t="s">
        <v>19</v>
      </c>
      <c r="K569" s="6"/>
    </row>
    <row r="570" customFormat="false" ht="12.8" hidden="false" customHeight="false" outlineLevel="0" collapsed="false">
      <c r="A570" s="8" t="str">
        <f aca="false">HYPERLINK("https://www.fabsurplus.com/sdi_catalog/salesItemDetails.do?id=97535")</f>
        <v>https://www.fabsurplus.com/sdi_catalog/salesItemDetails.do?id=97535</v>
      </c>
      <c r="B570" s="8" t="s">
        <v>1474</v>
      </c>
      <c r="C570" s="8" t="s">
        <v>97</v>
      </c>
      <c r="D570" s="8" t="s">
        <v>1470</v>
      </c>
      <c r="E570" s="8" t="s">
        <v>1471</v>
      </c>
      <c r="F570" s="8" t="s">
        <v>16</v>
      </c>
      <c r="G570" s="8" t="s">
        <v>310</v>
      </c>
      <c r="H570" s="8"/>
      <c r="I570" s="8"/>
      <c r="J570" s="8" t="s">
        <v>19</v>
      </c>
      <c r="K570" s="8"/>
    </row>
    <row r="571" customFormat="false" ht="12.8" hidden="false" customHeight="false" outlineLevel="0" collapsed="false">
      <c r="A571" s="6" t="str">
        <f aca="false">HYPERLINK("https://www.fabsurplus.com/sdi_catalog/salesItemDetails.do?id=97534")</f>
        <v>https://www.fabsurplus.com/sdi_catalog/salesItemDetails.do?id=97534</v>
      </c>
      <c r="B571" s="6" t="s">
        <v>1475</v>
      </c>
      <c r="C571" s="6" t="s">
        <v>97</v>
      </c>
      <c r="D571" s="6" t="s">
        <v>1470</v>
      </c>
      <c r="E571" s="6" t="s">
        <v>1471</v>
      </c>
      <c r="F571" s="6" t="s">
        <v>16</v>
      </c>
      <c r="G571" s="6" t="s">
        <v>310</v>
      </c>
      <c r="H571" s="6"/>
      <c r="I571" s="6"/>
      <c r="J571" s="6" t="s">
        <v>19</v>
      </c>
      <c r="K571" s="6"/>
    </row>
    <row r="572" customFormat="false" ht="12.8" hidden="false" customHeight="false" outlineLevel="0" collapsed="false">
      <c r="A572" s="6" t="str">
        <f aca="false">HYPERLINK("https://www.fabsurplus.com/sdi_catalog/salesItemDetails.do?id=97533")</f>
        <v>https://www.fabsurplus.com/sdi_catalog/salesItemDetails.do?id=97533</v>
      </c>
      <c r="B572" s="6" t="s">
        <v>1476</v>
      </c>
      <c r="C572" s="6" t="s">
        <v>97</v>
      </c>
      <c r="D572" s="6" t="s">
        <v>1470</v>
      </c>
      <c r="E572" s="6" t="s">
        <v>1471</v>
      </c>
      <c r="F572" s="6" t="s">
        <v>16</v>
      </c>
      <c r="G572" s="6" t="s">
        <v>310</v>
      </c>
      <c r="H572" s="6"/>
      <c r="I572" s="6"/>
      <c r="J572" s="6" t="s">
        <v>19</v>
      </c>
      <c r="K572" s="6"/>
    </row>
    <row r="573" customFormat="false" ht="12.8" hidden="false" customHeight="false" outlineLevel="0" collapsed="false">
      <c r="A573" s="8" t="str">
        <f aca="false">HYPERLINK("https://www.fabsurplus.com/sdi_catalog/salesItemDetails.do?id=97532")</f>
        <v>https://www.fabsurplus.com/sdi_catalog/salesItemDetails.do?id=97532</v>
      </c>
      <c r="B573" s="8" t="s">
        <v>1477</v>
      </c>
      <c r="C573" s="8" t="s">
        <v>97</v>
      </c>
      <c r="D573" s="8" t="s">
        <v>1470</v>
      </c>
      <c r="E573" s="8" t="s">
        <v>1471</v>
      </c>
      <c r="F573" s="8" t="s">
        <v>16</v>
      </c>
      <c r="G573" s="8" t="s">
        <v>310</v>
      </c>
      <c r="H573" s="8"/>
      <c r="I573" s="9" t="n">
        <v>41548</v>
      </c>
      <c r="J573" s="8" t="s">
        <v>19</v>
      </c>
      <c r="K573" s="8"/>
    </row>
    <row r="574" customFormat="false" ht="12.8" hidden="false" customHeight="false" outlineLevel="0" collapsed="false">
      <c r="A574" s="6" t="str">
        <f aca="false">HYPERLINK("https://www.fabsurplus.com/sdi_catalog/salesItemDetails.do?id=97531")</f>
        <v>https://www.fabsurplus.com/sdi_catalog/salesItemDetails.do?id=97531</v>
      </c>
      <c r="B574" s="6" t="s">
        <v>1478</v>
      </c>
      <c r="C574" s="6" t="s">
        <v>97</v>
      </c>
      <c r="D574" s="6" t="s">
        <v>1470</v>
      </c>
      <c r="E574" s="6" t="s">
        <v>1471</v>
      </c>
      <c r="F574" s="6" t="s">
        <v>16</v>
      </c>
      <c r="G574" s="6" t="s">
        <v>310</v>
      </c>
      <c r="H574" s="6"/>
      <c r="I574" s="7" t="n">
        <v>41548</v>
      </c>
      <c r="J574" s="6" t="s">
        <v>19</v>
      </c>
      <c r="K574" s="6"/>
    </row>
    <row r="575" customFormat="false" ht="12.8" hidden="false" customHeight="false" outlineLevel="0" collapsed="false">
      <c r="A575" s="8" t="str">
        <f aca="false">HYPERLINK("https://www.fabsurplus.com/sdi_catalog/salesItemDetails.do?id=97530")</f>
        <v>https://www.fabsurplus.com/sdi_catalog/salesItemDetails.do?id=97530</v>
      </c>
      <c r="B575" s="8" t="s">
        <v>1479</v>
      </c>
      <c r="C575" s="8" t="s">
        <v>97</v>
      </c>
      <c r="D575" s="8" t="s">
        <v>1470</v>
      </c>
      <c r="E575" s="8" t="s">
        <v>1471</v>
      </c>
      <c r="F575" s="8" t="s">
        <v>16</v>
      </c>
      <c r="G575" s="8" t="s">
        <v>310</v>
      </c>
      <c r="H575" s="8"/>
      <c r="I575" s="9" t="n">
        <v>38139</v>
      </c>
      <c r="J575" s="8" t="s">
        <v>19</v>
      </c>
      <c r="K575" s="8"/>
    </row>
    <row r="576" customFormat="false" ht="12.8" hidden="false" customHeight="false" outlineLevel="0" collapsed="false">
      <c r="A576" s="8" t="str">
        <f aca="false">HYPERLINK("https://www.fabsurplus.com/sdi_catalog/salesItemDetails.do?id=96818")</f>
        <v>https://www.fabsurplus.com/sdi_catalog/salesItemDetails.do?id=96818</v>
      </c>
      <c r="B576" s="8" t="s">
        <v>1480</v>
      </c>
      <c r="C576" s="8" t="s">
        <v>97</v>
      </c>
      <c r="D576" s="8" t="s">
        <v>1470</v>
      </c>
      <c r="E576" s="8" t="s">
        <v>1471</v>
      </c>
      <c r="F576" s="8" t="s">
        <v>16</v>
      </c>
      <c r="G576" s="8" t="s">
        <v>310</v>
      </c>
      <c r="H576" s="8"/>
      <c r="I576" s="8"/>
      <c r="J576" s="8" t="s">
        <v>19</v>
      </c>
      <c r="K576" s="8"/>
    </row>
    <row r="577" customFormat="false" ht="12.8" hidden="false" customHeight="false" outlineLevel="0" collapsed="false">
      <c r="A577" s="6" t="str">
        <f aca="false">HYPERLINK("https://www.fabsurplus.com/sdi_catalog/salesItemDetails.do?id=98067")</f>
        <v>https://www.fabsurplus.com/sdi_catalog/salesItemDetails.do?id=98067</v>
      </c>
      <c r="B577" s="6" t="s">
        <v>1481</v>
      </c>
      <c r="C577" s="6" t="s">
        <v>97</v>
      </c>
      <c r="D577" s="6" t="s">
        <v>1482</v>
      </c>
      <c r="E577" s="6" t="s">
        <v>1483</v>
      </c>
      <c r="F577" s="6" t="s">
        <v>16</v>
      </c>
      <c r="G577" s="6" t="s">
        <v>310</v>
      </c>
      <c r="H577" s="6"/>
      <c r="I577" s="6"/>
      <c r="J577" s="6" t="s">
        <v>19</v>
      </c>
      <c r="K577" s="6"/>
    </row>
    <row r="578" customFormat="false" ht="12.8" hidden="false" customHeight="false" outlineLevel="0" collapsed="false">
      <c r="A578" s="8" t="str">
        <f aca="false">HYPERLINK("https://www.fabsurplus.com/sdi_catalog/salesItemDetails.do?id=98066")</f>
        <v>https://www.fabsurplus.com/sdi_catalog/salesItemDetails.do?id=98066</v>
      </c>
      <c r="B578" s="8" t="s">
        <v>1484</v>
      </c>
      <c r="C578" s="8" t="s">
        <v>97</v>
      </c>
      <c r="D578" s="8" t="s">
        <v>1482</v>
      </c>
      <c r="E578" s="8" t="s">
        <v>1485</v>
      </c>
      <c r="F578" s="8" t="s">
        <v>16</v>
      </c>
      <c r="G578" s="8" t="s">
        <v>310</v>
      </c>
      <c r="H578" s="8"/>
      <c r="I578" s="9" t="n">
        <v>39234</v>
      </c>
      <c r="J578" s="8" t="s">
        <v>19</v>
      </c>
      <c r="K578" s="8"/>
    </row>
    <row r="579" customFormat="false" ht="12.8" hidden="false" customHeight="false" outlineLevel="0" collapsed="false">
      <c r="A579" s="6" t="str">
        <f aca="false">HYPERLINK("https://www.fabsurplus.com/sdi_catalog/salesItemDetails.do?id=98065")</f>
        <v>https://www.fabsurplus.com/sdi_catalog/salesItemDetails.do?id=98065</v>
      </c>
      <c r="B579" s="6" t="s">
        <v>1486</v>
      </c>
      <c r="C579" s="6" t="s">
        <v>97</v>
      </c>
      <c r="D579" s="6" t="s">
        <v>1482</v>
      </c>
      <c r="E579" s="6" t="s">
        <v>1487</v>
      </c>
      <c r="F579" s="6" t="s">
        <v>16</v>
      </c>
      <c r="G579" s="6" t="s">
        <v>310</v>
      </c>
      <c r="H579" s="6"/>
      <c r="I579" s="7" t="n">
        <v>39234</v>
      </c>
      <c r="J579" s="6" t="s">
        <v>19</v>
      </c>
      <c r="K579" s="6"/>
    </row>
    <row r="580" customFormat="false" ht="12.8" hidden="false" customHeight="false" outlineLevel="0" collapsed="false">
      <c r="A580" s="6" t="str">
        <f aca="false">HYPERLINK("https://www.fabsurplus.com/sdi_catalog/salesItemDetails.do?id=98064")</f>
        <v>https://www.fabsurplus.com/sdi_catalog/salesItemDetails.do?id=98064</v>
      </c>
      <c r="B580" s="6" t="s">
        <v>1488</v>
      </c>
      <c r="C580" s="6" t="s">
        <v>97</v>
      </c>
      <c r="D580" s="6" t="s">
        <v>1482</v>
      </c>
      <c r="E580" s="6" t="s">
        <v>1487</v>
      </c>
      <c r="F580" s="6" t="s">
        <v>16</v>
      </c>
      <c r="G580" s="6" t="s">
        <v>310</v>
      </c>
      <c r="H580" s="6"/>
      <c r="I580" s="7" t="n">
        <v>39234</v>
      </c>
      <c r="J580" s="6" t="s">
        <v>19</v>
      </c>
      <c r="K580" s="6"/>
    </row>
    <row r="581" customFormat="false" ht="12.8" hidden="false" customHeight="false" outlineLevel="0" collapsed="false">
      <c r="A581" s="6" t="str">
        <f aca="false">HYPERLINK("https://www.fabsurplus.com/sdi_catalog/salesItemDetails.do?id=98063")</f>
        <v>https://www.fabsurplus.com/sdi_catalog/salesItemDetails.do?id=98063</v>
      </c>
      <c r="B581" s="6" t="s">
        <v>1489</v>
      </c>
      <c r="C581" s="6" t="s">
        <v>97</v>
      </c>
      <c r="D581" s="6" t="s">
        <v>1482</v>
      </c>
      <c r="E581" s="6" t="s">
        <v>1487</v>
      </c>
      <c r="F581" s="6" t="s">
        <v>16</v>
      </c>
      <c r="G581" s="6" t="s">
        <v>310</v>
      </c>
      <c r="H581" s="6"/>
      <c r="I581" s="7" t="n">
        <v>38139</v>
      </c>
      <c r="J581" s="6" t="s">
        <v>19</v>
      </c>
      <c r="K581" s="6"/>
    </row>
    <row r="582" customFormat="false" ht="12.8" hidden="false" customHeight="false" outlineLevel="0" collapsed="false">
      <c r="A582" s="6" t="str">
        <f aca="false">HYPERLINK("https://www.fabsurplus.com/sdi_catalog/salesItemDetails.do?id=98068")</f>
        <v>https://www.fabsurplus.com/sdi_catalog/salesItemDetails.do?id=98068</v>
      </c>
      <c r="B582" s="6" t="s">
        <v>1490</v>
      </c>
      <c r="C582" s="6" t="s">
        <v>97</v>
      </c>
      <c r="D582" s="6" t="s">
        <v>1491</v>
      </c>
      <c r="E582" s="6" t="s">
        <v>1492</v>
      </c>
      <c r="F582" s="6" t="s">
        <v>16</v>
      </c>
      <c r="G582" s="6" t="s">
        <v>310</v>
      </c>
      <c r="H582" s="6"/>
      <c r="I582" s="7" t="n">
        <v>41061</v>
      </c>
      <c r="J582" s="6" t="s">
        <v>19</v>
      </c>
      <c r="K582" s="6"/>
    </row>
    <row r="583" customFormat="false" ht="12.8" hidden="false" customHeight="false" outlineLevel="0" collapsed="false">
      <c r="A583" s="8" t="str">
        <f aca="false">HYPERLINK("https://www.fabsurplus.com/sdi_catalog/salesItemDetails.do?id=100031")</f>
        <v>https://www.fabsurplus.com/sdi_catalog/salesItemDetails.do?id=100031</v>
      </c>
      <c r="B583" s="8" t="s">
        <v>1493</v>
      </c>
      <c r="C583" s="8" t="s">
        <v>97</v>
      </c>
      <c r="D583" s="8" t="s">
        <v>1494</v>
      </c>
      <c r="E583" s="8" t="s">
        <v>1495</v>
      </c>
      <c r="F583" s="8" t="s">
        <v>16</v>
      </c>
      <c r="G583" s="8" t="s">
        <v>310</v>
      </c>
      <c r="H583" s="8"/>
      <c r="I583" s="9" t="n">
        <v>38869</v>
      </c>
      <c r="J583" s="8" t="s">
        <v>19</v>
      </c>
      <c r="K583" s="8"/>
    </row>
    <row r="584" customFormat="false" ht="12.8" hidden="false" customHeight="false" outlineLevel="0" collapsed="false">
      <c r="A584" s="6" t="str">
        <f aca="false">HYPERLINK("https://www.fabsurplus.com/sdi_catalog/salesItemDetails.do?id=100032")</f>
        <v>https://www.fabsurplus.com/sdi_catalog/salesItemDetails.do?id=100032</v>
      </c>
      <c r="B584" s="6" t="s">
        <v>1496</v>
      </c>
      <c r="C584" s="6" t="s">
        <v>97</v>
      </c>
      <c r="D584" s="6" t="s">
        <v>1497</v>
      </c>
      <c r="E584" s="6" t="s">
        <v>1495</v>
      </c>
      <c r="F584" s="6" t="s">
        <v>16</v>
      </c>
      <c r="G584" s="6" t="s">
        <v>310</v>
      </c>
      <c r="H584" s="6"/>
      <c r="I584" s="7" t="n">
        <v>39600</v>
      </c>
      <c r="J584" s="6" t="s">
        <v>19</v>
      </c>
      <c r="K584" s="6"/>
    </row>
    <row r="585" customFormat="false" ht="12.8" hidden="false" customHeight="false" outlineLevel="0" collapsed="false">
      <c r="A585" s="8" t="str">
        <f aca="false">HYPERLINK("https://www.fabsurplus.com/sdi_catalog/salesItemDetails.do?id=97219")</f>
        <v>https://www.fabsurplus.com/sdi_catalog/salesItemDetails.do?id=97219</v>
      </c>
      <c r="B585" s="8" t="s">
        <v>1498</v>
      </c>
      <c r="C585" s="8" t="s">
        <v>97</v>
      </c>
      <c r="D585" s="8" t="s">
        <v>1499</v>
      </c>
      <c r="E585" s="8" t="s">
        <v>1495</v>
      </c>
      <c r="F585" s="8" t="s">
        <v>16</v>
      </c>
      <c r="G585" s="8" t="s">
        <v>310</v>
      </c>
      <c r="H585" s="8"/>
      <c r="I585" s="9" t="n">
        <v>38777</v>
      </c>
      <c r="J585" s="8" t="s">
        <v>19</v>
      </c>
      <c r="K585" s="8"/>
    </row>
    <row r="586" customFormat="false" ht="12.8" hidden="false" customHeight="false" outlineLevel="0" collapsed="false">
      <c r="A586" s="8" t="str">
        <f aca="false">HYPERLINK("https://www.fabsurplus.com/sdi_catalog/salesItemDetails.do?id=97218")</f>
        <v>https://www.fabsurplus.com/sdi_catalog/salesItemDetails.do?id=97218</v>
      </c>
      <c r="B586" s="8" t="s">
        <v>1500</v>
      </c>
      <c r="C586" s="8" t="s">
        <v>97</v>
      </c>
      <c r="D586" s="8" t="s">
        <v>1499</v>
      </c>
      <c r="E586" s="8" t="s">
        <v>1501</v>
      </c>
      <c r="F586" s="8" t="s">
        <v>16</v>
      </c>
      <c r="G586" s="8" t="s">
        <v>310</v>
      </c>
      <c r="H586" s="8"/>
      <c r="I586" s="9" t="n">
        <v>39569</v>
      </c>
      <c r="J586" s="8" t="s">
        <v>19</v>
      </c>
      <c r="K586" s="8"/>
    </row>
    <row r="587" customFormat="false" ht="12.8" hidden="false" customHeight="false" outlineLevel="0" collapsed="false">
      <c r="A587" s="6" t="str">
        <f aca="false">HYPERLINK("https://www.fabsurplus.com/sdi_catalog/salesItemDetails.do?id=97215")</f>
        <v>https://www.fabsurplus.com/sdi_catalog/salesItemDetails.do?id=97215</v>
      </c>
      <c r="B587" s="6" t="s">
        <v>1502</v>
      </c>
      <c r="C587" s="6" t="s">
        <v>97</v>
      </c>
      <c r="D587" s="6" t="s">
        <v>1503</v>
      </c>
      <c r="E587" s="6" t="s">
        <v>1450</v>
      </c>
      <c r="F587" s="6" t="s">
        <v>16</v>
      </c>
      <c r="G587" s="6" t="s">
        <v>310</v>
      </c>
      <c r="H587" s="6"/>
      <c r="I587" s="7" t="n">
        <v>41456</v>
      </c>
      <c r="J587" s="6" t="s">
        <v>19</v>
      </c>
      <c r="K587" s="6"/>
    </row>
    <row r="588" customFormat="false" ht="12.8" hidden="false" customHeight="false" outlineLevel="0" collapsed="false">
      <c r="A588" s="6" t="str">
        <f aca="false">HYPERLINK("https://www.fabsurplus.com/sdi_catalog/salesItemDetails.do?id=96972")</f>
        <v>https://www.fabsurplus.com/sdi_catalog/salesItemDetails.do?id=96972</v>
      </c>
      <c r="B588" s="6" t="s">
        <v>1504</v>
      </c>
      <c r="C588" s="6" t="s">
        <v>97</v>
      </c>
      <c r="D588" s="6" t="s">
        <v>1505</v>
      </c>
      <c r="E588" s="6" t="s">
        <v>1506</v>
      </c>
      <c r="F588" s="6" t="s">
        <v>16</v>
      </c>
      <c r="G588" s="6" t="s">
        <v>32</v>
      </c>
      <c r="H588" s="6"/>
      <c r="I588" s="7" t="n">
        <v>38504</v>
      </c>
      <c r="J588" s="6" t="s">
        <v>81</v>
      </c>
      <c r="K588" s="6"/>
    </row>
    <row r="589" customFormat="false" ht="12.8" hidden="false" customHeight="false" outlineLevel="0" collapsed="false">
      <c r="A589" s="6" t="str">
        <f aca="false">HYPERLINK("https://www.fabsurplus.com/sdi_catalog/salesItemDetails.do?id=96971")</f>
        <v>https://www.fabsurplus.com/sdi_catalog/salesItemDetails.do?id=96971</v>
      </c>
      <c r="B589" s="6" t="s">
        <v>1507</v>
      </c>
      <c r="C589" s="6" t="s">
        <v>97</v>
      </c>
      <c r="D589" s="6" t="s">
        <v>1505</v>
      </c>
      <c r="E589" s="6" t="s">
        <v>1435</v>
      </c>
      <c r="F589" s="6" t="s">
        <v>16</v>
      </c>
      <c r="G589" s="6" t="s">
        <v>32</v>
      </c>
      <c r="H589" s="6"/>
      <c r="I589" s="7" t="n">
        <v>38504</v>
      </c>
      <c r="J589" s="6" t="s">
        <v>81</v>
      </c>
      <c r="K589" s="6"/>
    </row>
    <row r="590" customFormat="false" ht="12.8" hidden="false" customHeight="false" outlineLevel="0" collapsed="false">
      <c r="A590" s="8" t="str">
        <f aca="false">HYPERLINK("https://www.fabsurplus.com/sdi_catalog/salesItemDetails.do?id=98557")</f>
        <v>https://www.fabsurplus.com/sdi_catalog/salesItemDetails.do?id=98557</v>
      </c>
      <c r="B590" s="8" t="s">
        <v>1508</v>
      </c>
      <c r="C590" s="8" t="s">
        <v>97</v>
      </c>
      <c r="D590" s="8" t="s">
        <v>1509</v>
      </c>
      <c r="E590" s="8" t="s">
        <v>1510</v>
      </c>
      <c r="F590" s="8" t="s">
        <v>16</v>
      </c>
      <c r="G590" s="8" t="s">
        <v>310</v>
      </c>
      <c r="H590" s="8"/>
      <c r="I590" s="8"/>
      <c r="J590" s="8" t="s">
        <v>19</v>
      </c>
      <c r="K590" s="8"/>
    </row>
    <row r="591" customFormat="false" ht="12.8" hidden="false" customHeight="false" outlineLevel="0" collapsed="false">
      <c r="A591" s="6" t="str">
        <f aca="false">HYPERLINK("https://www.fabsurplus.com/sdi_catalog/salesItemDetails.do?id=98556")</f>
        <v>https://www.fabsurplus.com/sdi_catalog/salesItemDetails.do?id=98556</v>
      </c>
      <c r="B591" s="6" t="s">
        <v>1511</v>
      </c>
      <c r="C591" s="6" t="s">
        <v>97</v>
      </c>
      <c r="D591" s="6" t="s">
        <v>1509</v>
      </c>
      <c r="E591" s="6" t="s">
        <v>1510</v>
      </c>
      <c r="F591" s="6" t="s">
        <v>16</v>
      </c>
      <c r="G591" s="6" t="s">
        <v>310</v>
      </c>
      <c r="H591" s="6"/>
      <c r="I591" s="6"/>
      <c r="J591" s="6" t="s">
        <v>19</v>
      </c>
      <c r="K591" s="6"/>
    </row>
    <row r="592" customFormat="false" ht="12.8" hidden="false" customHeight="false" outlineLevel="0" collapsed="false">
      <c r="A592" s="8" t="str">
        <f aca="false">HYPERLINK("https://www.fabsurplus.com/sdi_catalog/salesItemDetails.do?id=98555")</f>
        <v>https://www.fabsurplus.com/sdi_catalog/salesItemDetails.do?id=98555</v>
      </c>
      <c r="B592" s="8" t="s">
        <v>1512</v>
      </c>
      <c r="C592" s="8" t="s">
        <v>97</v>
      </c>
      <c r="D592" s="8" t="s">
        <v>1509</v>
      </c>
      <c r="E592" s="8" t="s">
        <v>1510</v>
      </c>
      <c r="F592" s="8" t="s">
        <v>16</v>
      </c>
      <c r="G592" s="8" t="s">
        <v>310</v>
      </c>
      <c r="H592" s="8"/>
      <c r="I592" s="8"/>
      <c r="J592" s="8" t="s">
        <v>19</v>
      </c>
      <c r="K592" s="8"/>
    </row>
    <row r="593" customFormat="false" ht="12.8" hidden="false" customHeight="false" outlineLevel="0" collapsed="false">
      <c r="A593" s="8" t="str">
        <f aca="false">HYPERLINK("https://www.fabsurplus.com/sdi_catalog/salesItemDetails.do?id=98070")</f>
        <v>https://www.fabsurplus.com/sdi_catalog/salesItemDetails.do?id=98070</v>
      </c>
      <c r="B593" s="8" t="s">
        <v>1513</v>
      </c>
      <c r="C593" s="8" t="s">
        <v>97</v>
      </c>
      <c r="D593" s="8" t="s">
        <v>1514</v>
      </c>
      <c r="E593" s="8" t="s">
        <v>1515</v>
      </c>
      <c r="F593" s="8" t="s">
        <v>16</v>
      </c>
      <c r="G593" s="8" t="s">
        <v>310</v>
      </c>
      <c r="H593" s="8"/>
      <c r="I593" s="9" t="n">
        <v>39234</v>
      </c>
      <c r="J593" s="8" t="s">
        <v>19</v>
      </c>
      <c r="K593" s="8"/>
    </row>
    <row r="594" customFormat="false" ht="12.8" hidden="false" customHeight="false" outlineLevel="0" collapsed="false">
      <c r="A594" s="8" t="str">
        <f aca="false">HYPERLINK("https://www.fabsurplus.com/sdi_catalog/salesItemDetails.do?id=98069")</f>
        <v>https://www.fabsurplus.com/sdi_catalog/salesItemDetails.do?id=98069</v>
      </c>
      <c r="B594" s="8" t="s">
        <v>1516</v>
      </c>
      <c r="C594" s="8" t="s">
        <v>97</v>
      </c>
      <c r="D594" s="8" t="s">
        <v>1514</v>
      </c>
      <c r="E594" s="8" t="s">
        <v>1515</v>
      </c>
      <c r="F594" s="8" t="s">
        <v>16</v>
      </c>
      <c r="G594" s="8" t="s">
        <v>310</v>
      </c>
      <c r="H594" s="8"/>
      <c r="I594" s="9" t="n">
        <v>38139</v>
      </c>
      <c r="J594" s="8" t="s">
        <v>19</v>
      </c>
      <c r="K594" s="8"/>
    </row>
    <row r="595" customFormat="false" ht="12.8" hidden="false" customHeight="false" outlineLevel="0" collapsed="false">
      <c r="A595" s="6" t="str">
        <f aca="false">HYPERLINK("https://www.fabsurplus.com/sdi_catalog/salesItemDetails.do?id=98071")</f>
        <v>https://www.fabsurplus.com/sdi_catalog/salesItemDetails.do?id=98071</v>
      </c>
      <c r="B595" s="6" t="s">
        <v>1517</v>
      </c>
      <c r="C595" s="6" t="s">
        <v>97</v>
      </c>
      <c r="D595" s="6" t="s">
        <v>1514</v>
      </c>
      <c r="E595" s="6" t="s">
        <v>1518</v>
      </c>
      <c r="F595" s="6" t="s">
        <v>16</v>
      </c>
      <c r="G595" s="6" t="s">
        <v>310</v>
      </c>
      <c r="H595" s="6"/>
      <c r="I595" s="7" t="n">
        <v>39234</v>
      </c>
      <c r="J595" s="6" t="s">
        <v>19</v>
      </c>
      <c r="K595" s="6"/>
    </row>
    <row r="596" customFormat="false" ht="12.8" hidden="false" customHeight="false" outlineLevel="0" collapsed="false">
      <c r="A596" s="6" t="str">
        <f aca="false">HYPERLINK("https://www.fabsurplus.com/sdi_catalog/salesItemDetails.do?id=98072")</f>
        <v>https://www.fabsurplus.com/sdi_catalog/salesItemDetails.do?id=98072</v>
      </c>
      <c r="B596" s="6" t="s">
        <v>1519</v>
      </c>
      <c r="C596" s="6" t="s">
        <v>97</v>
      </c>
      <c r="D596" s="6" t="s">
        <v>1520</v>
      </c>
      <c r="E596" s="6" t="s">
        <v>1518</v>
      </c>
      <c r="F596" s="6" t="s">
        <v>16</v>
      </c>
      <c r="G596" s="6" t="s">
        <v>310</v>
      </c>
      <c r="H596" s="6"/>
      <c r="I596" s="7" t="n">
        <v>38139</v>
      </c>
      <c r="J596" s="6" t="s">
        <v>19</v>
      </c>
      <c r="K596" s="6"/>
    </row>
    <row r="597" customFormat="false" ht="12.8" hidden="false" customHeight="false" outlineLevel="0" collapsed="false">
      <c r="A597" s="6" t="str">
        <f aca="false">HYPERLINK("https://www.fabsurplus.com/sdi_catalog/salesItemDetails.do?id=98073")</f>
        <v>https://www.fabsurplus.com/sdi_catalog/salesItemDetails.do?id=98073</v>
      </c>
      <c r="B597" s="6" t="s">
        <v>1521</v>
      </c>
      <c r="C597" s="6" t="s">
        <v>97</v>
      </c>
      <c r="D597" s="6" t="s">
        <v>1522</v>
      </c>
      <c r="E597" s="6" t="s">
        <v>1518</v>
      </c>
      <c r="F597" s="6" t="s">
        <v>16</v>
      </c>
      <c r="G597" s="6" t="s">
        <v>310</v>
      </c>
      <c r="H597" s="6"/>
      <c r="I597" s="7" t="n">
        <v>40330</v>
      </c>
      <c r="J597" s="6" t="s">
        <v>19</v>
      </c>
      <c r="K597" s="6"/>
    </row>
    <row r="598" customFormat="false" ht="12.8" hidden="false" customHeight="false" outlineLevel="0" collapsed="false">
      <c r="A598" s="8" t="str">
        <f aca="false">HYPERLINK("https://www.fabsurplus.com/sdi_catalog/salesItemDetails.do?id=99293")</f>
        <v>https://www.fabsurplus.com/sdi_catalog/salesItemDetails.do?id=99293</v>
      </c>
      <c r="B598" s="8" t="s">
        <v>1523</v>
      </c>
      <c r="C598" s="8" t="s">
        <v>97</v>
      </c>
      <c r="D598" s="8" t="s">
        <v>1524</v>
      </c>
      <c r="E598" s="8" t="s">
        <v>1525</v>
      </c>
      <c r="F598" s="8" t="s">
        <v>16</v>
      </c>
      <c r="G598" s="8" t="s">
        <v>32</v>
      </c>
      <c r="H598" s="8" t="s">
        <v>115</v>
      </c>
      <c r="I598" s="9" t="n">
        <v>37773</v>
      </c>
      <c r="J598" s="8" t="s">
        <v>19</v>
      </c>
      <c r="K598" s="8" t="s">
        <v>20</v>
      </c>
    </row>
    <row r="599" customFormat="false" ht="12.8" hidden="false" customHeight="false" outlineLevel="0" collapsed="false">
      <c r="A599" s="8" t="str">
        <f aca="false">HYPERLINK("https://www.fabsurplus.com/sdi_catalog/salesItemDetails.do?id=99974")</f>
        <v>https://www.fabsurplus.com/sdi_catalog/salesItemDetails.do?id=99974</v>
      </c>
      <c r="B599" s="8" t="s">
        <v>1526</v>
      </c>
      <c r="C599" s="8" t="s">
        <v>97</v>
      </c>
      <c r="D599" s="8" t="s">
        <v>1527</v>
      </c>
      <c r="E599" s="8" t="s">
        <v>1528</v>
      </c>
      <c r="F599" s="8" t="s">
        <v>16</v>
      </c>
      <c r="G599" s="8" t="s">
        <v>697</v>
      </c>
      <c r="H599" s="8"/>
      <c r="I599" s="9" t="n">
        <v>36312</v>
      </c>
      <c r="J599" s="8" t="s">
        <v>19</v>
      </c>
      <c r="K599" s="8"/>
    </row>
    <row r="600" customFormat="false" ht="12.8" hidden="false" customHeight="false" outlineLevel="0" collapsed="false">
      <c r="A600" s="6" t="str">
        <f aca="false">HYPERLINK("https://www.fabsurplus.com/sdi_catalog/salesItemDetails.do?id=98796")</f>
        <v>https://www.fabsurplus.com/sdi_catalog/salesItemDetails.do?id=98796</v>
      </c>
      <c r="B600" s="6" t="s">
        <v>1529</v>
      </c>
      <c r="C600" s="6" t="s">
        <v>97</v>
      </c>
      <c r="D600" s="6" t="s">
        <v>1530</v>
      </c>
      <c r="E600" s="6" t="s">
        <v>1531</v>
      </c>
      <c r="F600" s="6" t="s">
        <v>16</v>
      </c>
      <c r="G600" s="6" t="s">
        <v>310</v>
      </c>
      <c r="H600" s="6"/>
      <c r="I600" s="7" t="n">
        <v>40269</v>
      </c>
      <c r="J600" s="6" t="s">
        <v>19</v>
      </c>
      <c r="K600" s="6"/>
    </row>
    <row r="601" customFormat="false" ht="12.8" hidden="false" customHeight="false" outlineLevel="0" collapsed="false">
      <c r="A601" s="8" t="str">
        <f aca="false">HYPERLINK("https://www.fabsurplus.com/sdi_catalog/salesItemDetails.do?id=97214")</f>
        <v>https://www.fabsurplus.com/sdi_catalog/salesItemDetails.do?id=97214</v>
      </c>
      <c r="B601" s="8" t="s">
        <v>1532</v>
      </c>
      <c r="C601" s="8" t="s">
        <v>97</v>
      </c>
      <c r="D601" s="8" t="s">
        <v>1533</v>
      </c>
      <c r="E601" s="8" t="s">
        <v>1531</v>
      </c>
      <c r="F601" s="8" t="s">
        <v>16</v>
      </c>
      <c r="G601" s="8" t="s">
        <v>310</v>
      </c>
      <c r="H601" s="8"/>
      <c r="I601" s="9" t="n">
        <v>40269</v>
      </c>
      <c r="J601" s="8" t="s">
        <v>19</v>
      </c>
      <c r="K601" s="8"/>
    </row>
    <row r="602" customFormat="false" ht="12.8" hidden="false" customHeight="false" outlineLevel="0" collapsed="false">
      <c r="A602" s="8" t="str">
        <f aca="false">HYPERLINK("https://www.fabsurplus.com/sdi_catalog/salesItemDetails.do?id=97213")</f>
        <v>https://www.fabsurplus.com/sdi_catalog/salesItemDetails.do?id=97213</v>
      </c>
      <c r="B602" s="8" t="s">
        <v>1534</v>
      </c>
      <c r="C602" s="8" t="s">
        <v>97</v>
      </c>
      <c r="D602" s="8" t="s">
        <v>1533</v>
      </c>
      <c r="E602" s="8" t="s">
        <v>1531</v>
      </c>
      <c r="F602" s="8" t="s">
        <v>16</v>
      </c>
      <c r="G602" s="8" t="s">
        <v>310</v>
      </c>
      <c r="H602" s="8"/>
      <c r="I602" s="9" t="n">
        <v>40360</v>
      </c>
      <c r="J602" s="8" t="s">
        <v>19</v>
      </c>
      <c r="K602" s="8"/>
    </row>
    <row r="603" customFormat="false" ht="12.8" hidden="false" customHeight="false" outlineLevel="0" collapsed="false">
      <c r="A603" s="6" t="str">
        <f aca="false">HYPERLINK("https://www.fabsurplus.com/sdi_catalog/salesItemDetails.do?id=98991")</f>
        <v>https://www.fabsurplus.com/sdi_catalog/salesItemDetails.do?id=98991</v>
      </c>
      <c r="B603" s="6" t="s">
        <v>1535</v>
      </c>
      <c r="C603" s="6" t="s">
        <v>97</v>
      </c>
      <c r="D603" s="6" t="s">
        <v>1536</v>
      </c>
      <c r="E603" s="6" t="s">
        <v>1495</v>
      </c>
      <c r="F603" s="6" t="s">
        <v>16</v>
      </c>
      <c r="G603" s="6" t="s">
        <v>310</v>
      </c>
      <c r="H603" s="6"/>
      <c r="I603" s="7" t="n">
        <v>38838</v>
      </c>
      <c r="J603" s="6" t="s">
        <v>19</v>
      </c>
      <c r="K603" s="6"/>
    </row>
    <row r="604" customFormat="false" ht="12.8" hidden="false" customHeight="false" outlineLevel="0" collapsed="false">
      <c r="A604" s="8" t="str">
        <f aca="false">HYPERLINK("https://www.fabsurplus.com/sdi_catalog/salesItemDetails.do?id=98374")</f>
        <v>https://www.fabsurplus.com/sdi_catalog/salesItemDetails.do?id=98374</v>
      </c>
      <c r="B604" s="8" t="s">
        <v>1537</v>
      </c>
      <c r="C604" s="8" t="s">
        <v>97</v>
      </c>
      <c r="D604" s="8" t="s">
        <v>1538</v>
      </c>
      <c r="E604" s="8" t="s">
        <v>1495</v>
      </c>
      <c r="F604" s="8" t="s">
        <v>611</v>
      </c>
      <c r="G604" s="8" t="s">
        <v>310</v>
      </c>
      <c r="H604" s="8"/>
      <c r="I604" s="8"/>
      <c r="J604" s="8" t="s">
        <v>19</v>
      </c>
      <c r="K604" s="8"/>
    </row>
    <row r="605" customFormat="false" ht="12.8" hidden="false" customHeight="false" outlineLevel="0" collapsed="false">
      <c r="A605" s="6" t="str">
        <f aca="false">HYPERLINK("https://www.fabsurplus.com/sdi_catalog/salesItemDetails.do?id=98260")</f>
        <v>https://www.fabsurplus.com/sdi_catalog/salesItemDetails.do?id=98260</v>
      </c>
      <c r="B605" s="6" t="s">
        <v>1539</v>
      </c>
      <c r="C605" s="6" t="s">
        <v>97</v>
      </c>
      <c r="D605" s="6" t="s">
        <v>1540</v>
      </c>
      <c r="E605" s="6" t="s">
        <v>1495</v>
      </c>
      <c r="F605" s="6" t="s">
        <v>16</v>
      </c>
      <c r="G605" s="6" t="s">
        <v>310</v>
      </c>
      <c r="H605" s="6"/>
      <c r="I605" s="7" t="n">
        <v>40330</v>
      </c>
      <c r="J605" s="6" t="s">
        <v>19</v>
      </c>
      <c r="K605" s="6"/>
    </row>
    <row r="606" customFormat="false" ht="12.8" hidden="false" customHeight="false" outlineLevel="0" collapsed="false">
      <c r="A606" s="6" t="str">
        <f aca="false">HYPERLINK("https://www.fabsurplus.com/sdi_catalog/salesItemDetails.do?id=98259")</f>
        <v>https://www.fabsurplus.com/sdi_catalog/salesItemDetails.do?id=98259</v>
      </c>
      <c r="B606" s="6" t="s">
        <v>1541</v>
      </c>
      <c r="C606" s="6" t="s">
        <v>97</v>
      </c>
      <c r="D606" s="6" t="s">
        <v>1540</v>
      </c>
      <c r="E606" s="6" t="s">
        <v>1495</v>
      </c>
      <c r="F606" s="6" t="s">
        <v>16</v>
      </c>
      <c r="G606" s="6" t="s">
        <v>310</v>
      </c>
      <c r="H606" s="6"/>
      <c r="I606" s="7" t="n">
        <v>38869</v>
      </c>
      <c r="J606" s="6" t="s">
        <v>19</v>
      </c>
      <c r="K606" s="6"/>
    </row>
    <row r="607" customFormat="false" ht="12.8" hidden="false" customHeight="false" outlineLevel="0" collapsed="false">
      <c r="A607" s="8" t="str">
        <f aca="false">HYPERLINK("https://www.fabsurplus.com/sdi_catalog/salesItemDetails.do?id=98258")</f>
        <v>https://www.fabsurplus.com/sdi_catalog/salesItemDetails.do?id=98258</v>
      </c>
      <c r="B607" s="8" t="s">
        <v>1542</v>
      </c>
      <c r="C607" s="8" t="s">
        <v>97</v>
      </c>
      <c r="D607" s="8" t="s">
        <v>1540</v>
      </c>
      <c r="E607" s="8" t="s">
        <v>1495</v>
      </c>
      <c r="F607" s="8" t="s">
        <v>16</v>
      </c>
      <c r="G607" s="8" t="s">
        <v>310</v>
      </c>
      <c r="H607" s="8"/>
      <c r="I607" s="9" t="n">
        <v>38869</v>
      </c>
      <c r="J607" s="8" t="s">
        <v>19</v>
      </c>
      <c r="K607" s="8"/>
    </row>
    <row r="608" customFormat="false" ht="12.8" hidden="false" customHeight="false" outlineLevel="0" collapsed="false">
      <c r="A608" s="6" t="str">
        <f aca="false">HYPERLINK("https://www.fabsurplus.com/sdi_catalog/salesItemDetails.do?id=98261")</f>
        <v>https://www.fabsurplus.com/sdi_catalog/salesItemDetails.do?id=98261</v>
      </c>
      <c r="B608" s="6" t="s">
        <v>1543</v>
      </c>
      <c r="C608" s="6" t="s">
        <v>97</v>
      </c>
      <c r="D608" s="6" t="s">
        <v>1544</v>
      </c>
      <c r="E608" s="6" t="s">
        <v>1450</v>
      </c>
      <c r="F608" s="6" t="s">
        <v>16</v>
      </c>
      <c r="G608" s="6" t="s">
        <v>310</v>
      </c>
      <c r="H608" s="6"/>
      <c r="I608" s="7" t="n">
        <v>41426</v>
      </c>
      <c r="J608" s="6" t="s">
        <v>19</v>
      </c>
      <c r="K608" s="6"/>
    </row>
    <row r="609" customFormat="false" ht="12.8" hidden="false" customHeight="false" outlineLevel="0" collapsed="false">
      <c r="A609" s="8" t="str">
        <f aca="false">HYPERLINK("https://www.fabsurplus.com/sdi_catalog/salesItemDetails.do?id=98992")</f>
        <v>https://www.fabsurplus.com/sdi_catalog/salesItemDetails.do?id=98992</v>
      </c>
      <c r="B609" s="8" t="s">
        <v>1545</v>
      </c>
      <c r="C609" s="8" t="s">
        <v>97</v>
      </c>
      <c r="D609" s="8" t="s">
        <v>1546</v>
      </c>
      <c r="E609" s="8" t="s">
        <v>1495</v>
      </c>
      <c r="F609" s="8" t="s">
        <v>16</v>
      </c>
      <c r="G609" s="8" t="s">
        <v>310</v>
      </c>
      <c r="H609" s="8"/>
      <c r="I609" s="9" t="n">
        <v>38718</v>
      </c>
      <c r="J609" s="8" t="s">
        <v>19</v>
      </c>
      <c r="K609" s="8"/>
    </row>
    <row r="610" customFormat="false" ht="12.8" hidden="false" customHeight="false" outlineLevel="0" collapsed="false">
      <c r="A610" s="6" t="str">
        <f aca="false">HYPERLINK("https://www.fabsurplus.com/sdi_catalog/salesItemDetails.do?id=100758")</f>
        <v>https://www.fabsurplus.com/sdi_catalog/salesItemDetails.do?id=100758</v>
      </c>
      <c r="B610" s="6" t="s">
        <v>1547</v>
      </c>
      <c r="C610" s="6" t="s">
        <v>97</v>
      </c>
      <c r="D610" s="6" t="s">
        <v>1548</v>
      </c>
      <c r="E610" s="6" t="s">
        <v>1549</v>
      </c>
      <c r="F610" s="6" t="s">
        <v>16</v>
      </c>
      <c r="G610" s="6" t="s">
        <v>310</v>
      </c>
      <c r="H610" s="6"/>
      <c r="I610" s="7" t="n">
        <v>37773</v>
      </c>
      <c r="J610" s="6" t="s">
        <v>81</v>
      </c>
      <c r="K610" s="6"/>
    </row>
    <row r="611" customFormat="false" ht="12.8" hidden="false" customHeight="false" outlineLevel="0" collapsed="false">
      <c r="A611" s="8" t="str">
        <f aca="false">HYPERLINK("https://www.fabsurplus.com/sdi_catalog/salesItemDetails.do?id=100760")</f>
        <v>https://www.fabsurplus.com/sdi_catalog/salesItemDetails.do?id=100760</v>
      </c>
      <c r="B611" s="8" t="s">
        <v>1550</v>
      </c>
      <c r="C611" s="8" t="s">
        <v>97</v>
      </c>
      <c r="D611" s="8" t="s">
        <v>1551</v>
      </c>
      <c r="E611" s="8" t="s">
        <v>1552</v>
      </c>
      <c r="F611" s="8" t="s">
        <v>16</v>
      </c>
      <c r="G611" s="8" t="s">
        <v>310</v>
      </c>
      <c r="H611" s="8"/>
      <c r="I611" s="9" t="n">
        <v>39234</v>
      </c>
      <c r="J611" s="8" t="s">
        <v>81</v>
      </c>
      <c r="K611" s="8"/>
    </row>
    <row r="612" customFormat="false" ht="12.8" hidden="false" customHeight="false" outlineLevel="0" collapsed="false">
      <c r="A612" s="8" t="str">
        <f aca="false">HYPERLINK("https://www.fabsurplus.com/sdi_catalog/salesItemDetails.do?id=100759")</f>
        <v>https://www.fabsurplus.com/sdi_catalog/salesItemDetails.do?id=100759</v>
      </c>
      <c r="B612" s="8" t="s">
        <v>1553</v>
      </c>
      <c r="C612" s="8" t="s">
        <v>97</v>
      </c>
      <c r="D612" s="8" t="s">
        <v>1551</v>
      </c>
      <c r="E612" s="8" t="s">
        <v>1552</v>
      </c>
      <c r="F612" s="8" t="s">
        <v>16</v>
      </c>
      <c r="G612" s="8" t="s">
        <v>310</v>
      </c>
      <c r="H612" s="8"/>
      <c r="I612" s="9" t="n">
        <v>39234</v>
      </c>
      <c r="J612" s="8" t="s">
        <v>81</v>
      </c>
      <c r="K612" s="8"/>
    </row>
    <row r="613" customFormat="false" ht="12.8" hidden="false" customHeight="false" outlineLevel="0" collapsed="false">
      <c r="A613" s="8" t="str">
        <f aca="false">HYPERLINK("https://www.fabsurplus.com/sdi_catalog/salesItemDetails.do?id=98993")</f>
        <v>https://www.fabsurplus.com/sdi_catalog/salesItemDetails.do?id=98993</v>
      </c>
      <c r="B613" s="8" t="s">
        <v>1554</v>
      </c>
      <c r="C613" s="8" t="s">
        <v>97</v>
      </c>
      <c r="D613" s="8" t="s">
        <v>1555</v>
      </c>
      <c r="E613" s="8" t="s">
        <v>1495</v>
      </c>
      <c r="F613" s="8" t="s">
        <v>16</v>
      </c>
      <c r="G613" s="8" t="s">
        <v>310</v>
      </c>
      <c r="H613" s="8"/>
      <c r="I613" s="9" t="n">
        <v>38169</v>
      </c>
      <c r="J613" s="8" t="s">
        <v>19</v>
      </c>
      <c r="K613" s="8"/>
    </row>
    <row r="614" customFormat="false" ht="12.8" hidden="false" customHeight="false" outlineLevel="0" collapsed="false">
      <c r="A614" s="8" t="str">
        <f aca="false">HYPERLINK("https://www.fabsurplus.com/sdi_catalog/salesItemDetails.do?id=100762")</f>
        <v>https://www.fabsurplus.com/sdi_catalog/salesItemDetails.do?id=100762</v>
      </c>
      <c r="B614" s="8" t="s">
        <v>1556</v>
      </c>
      <c r="C614" s="8" t="s">
        <v>97</v>
      </c>
      <c r="D614" s="8" t="s">
        <v>1557</v>
      </c>
      <c r="E614" s="8" t="s">
        <v>1558</v>
      </c>
      <c r="F614" s="8" t="s">
        <v>16</v>
      </c>
      <c r="G614" s="8" t="s">
        <v>310</v>
      </c>
      <c r="H614" s="8"/>
      <c r="I614" s="9" t="n">
        <v>39234</v>
      </c>
      <c r="J614" s="8" t="s">
        <v>81</v>
      </c>
      <c r="K614" s="8"/>
    </row>
    <row r="615" customFormat="false" ht="12.8" hidden="false" customHeight="false" outlineLevel="0" collapsed="false">
      <c r="A615" s="8" t="str">
        <f aca="false">HYPERLINK("https://www.fabsurplus.com/sdi_catalog/salesItemDetails.do?id=100761")</f>
        <v>https://www.fabsurplus.com/sdi_catalog/salesItemDetails.do?id=100761</v>
      </c>
      <c r="B615" s="8" t="s">
        <v>1559</v>
      </c>
      <c r="C615" s="8" t="s">
        <v>97</v>
      </c>
      <c r="D615" s="8" t="s">
        <v>1557</v>
      </c>
      <c r="E615" s="8" t="s">
        <v>1558</v>
      </c>
      <c r="F615" s="8" t="s">
        <v>16</v>
      </c>
      <c r="G615" s="8" t="s">
        <v>310</v>
      </c>
      <c r="H615" s="8"/>
      <c r="I615" s="9" t="n">
        <v>39234</v>
      </c>
      <c r="J615" s="8" t="s">
        <v>81</v>
      </c>
      <c r="K615" s="8"/>
    </row>
    <row r="616" customFormat="false" ht="12.8" hidden="false" customHeight="false" outlineLevel="0" collapsed="false">
      <c r="A616" s="6" t="str">
        <f aca="false">HYPERLINK("https://www.fabsurplus.com/sdi_catalog/salesItemDetails.do?id=98375")</f>
        <v>https://www.fabsurplus.com/sdi_catalog/salesItemDetails.do?id=98375</v>
      </c>
      <c r="B616" s="6" t="s">
        <v>1560</v>
      </c>
      <c r="C616" s="6" t="s">
        <v>97</v>
      </c>
      <c r="D616" s="6" t="s">
        <v>1561</v>
      </c>
      <c r="E616" s="6" t="s">
        <v>1495</v>
      </c>
      <c r="F616" s="6" t="s">
        <v>16</v>
      </c>
      <c r="G616" s="6" t="s">
        <v>310</v>
      </c>
      <c r="H616" s="6"/>
      <c r="I616" s="6"/>
      <c r="J616" s="6" t="s">
        <v>19</v>
      </c>
      <c r="K616" s="6"/>
    </row>
    <row r="617" customFormat="false" ht="12.8" hidden="false" customHeight="false" outlineLevel="0" collapsed="false">
      <c r="A617" s="6" t="str">
        <f aca="false">HYPERLINK("https://www.fabsurplus.com/sdi_catalog/salesItemDetails.do?id=98022")</f>
        <v>https://www.fabsurplus.com/sdi_catalog/salesItemDetails.do?id=98022</v>
      </c>
      <c r="B617" s="6" t="s">
        <v>1562</v>
      </c>
      <c r="C617" s="6" t="s">
        <v>97</v>
      </c>
      <c r="D617" s="6" t="s">
        <v>1563</v>
      </c>
      <c r="E617" s="6" t="s">
        <v>1518</v>
      </c>
      <c r="F617" s="6" t="s">
        <v>16</v>
      </c>
      <c r="G617" s="6" t="s">
        <v>310</v>
      </c>
      <c r="H617" s="6"/>
      <c r="I617" s="7" t="n">
        <v>39965</v>
      </c>
      <c r="J617" s="6" t="s">
        <v>19</v>
      </c>
      <c r="K617" s="6"/>
    </row>
    <row r="618" customFormat="false" ht="12.8" hidden="false" customHeight="false" outlineLevel="0" collapsed="false">
      <c r="A618" s="8" t="str">
        <f aca="false">HYPERLINK("https://www.fabsurplus.com/sdi_catalog/salesItemDetails.do?id=97217")</f>
        <v>https://www.fabsurplus.com/sdi_catalog/salesItemDetails.do?id=97217</v>
      </c>
      <c r="B618" s="8" t="s">
        <v>1564</v>
      </c>
      <c r="C618" s="8" t="s">
        <v>97</v>
      </c>
      <c r="D618" s="8" t="s">
        <v>1565</v>
      </c>
      <c r="E618" s="8" t="s">
        <v>1566</v>
      </c>
      <c r="F618" s="8" t="s">
        <v>16</v>
      </c>
      <c r="G618" s="8" t="s">
        <v>310</v>
      </c>
      <c r="H618" s="8"/>
      <c r="I618" s="9" t="n">
        <v>37742</v>
      </c>
      <c r="J618" s="8" t="s">
        <v>19</v>
      </c>
      <c r="K618" s="8"/>
    </row>
    <row r="619" customFormat="false" ht="12.8" hidden="false" customHeight="false" outlineLevel="0" collapsed="false">
      <c r="A619" s="8" t="str">
        <f aca="false">HYPERLINK("https://www.fabsurplus.com/sdi_catalog/salesItemDetails.do?id=97216")</f>
        <v>https://www.fabsurplus.com/sdi_catalog/salesItemDetails.do?id=97216</v>
      </c>
      <c r="B619" s="8" t="s">
        <v>1567</v>
      </c>
      <c r="C619" s="8" t="s">
        <v>97</v>
      </c>
      <c r="D619" s="8" t="s">
        <v>1565</v>
      </c>
      <c r="E619" s="8" t="s">
        <v>1566</v>
      </c>
      <c r="F619" s="8" t="s">
        <v>16</v>
      </c>
      <c r="G619" s="8" t="s">
        <v>310</v>
      </c>
      <c r="H619" s="8"/>
      <c r="I619" s="9" t="n">
        <v>38047</v>
      </c>
      <c r="J619" s="8" t="s">
        <v>19</v>
      </c>
      <c r="K619" s="8"/>
    </row>
    <row r="620" customFormat="false" ht="12.8" hidden="false" customHeight="false" outlineLevel="0" collapsed="false">
      <c r="A620" s="6" t="str">
        <f aca="false">HYPERLINK("https://www.fabsurplus.com/sdi_catalog/salesItemDetails.do?id=98025")</f>
        <v>https://www.fabsurplus.com/sdi_catalog/salesItemDetails.do?id=98025</v>
      </c>
      <c r="B620" s="6" t="s">
        <v>1568</v>
      </c>
      <c r="C620" s="6" t="s">
        <v>97</v>
      </c>
      <c r="D620" s="6" t="s">
        <v>1569</v>
      </c>
      <c r="E620" s="6" t="s">
        <v>1570</v>
      </c>
      <c r="F620" s="6" t="s">
        <v>16</v>
      </c>
      <c r="G620" s="6" t="s">
        <v>310</v>
      </c>
      <c r="H620" s="6"/>
      <c r="I620" s="7" t="n">
        <v>43252</v>
      </c>
      <c r="J620" s="6" t="s">
        <v>19</v>
      </c>
      <c r="K620" s="6"/>
    </row>
    <row r="621" customFormat="false" ht="12.8" hidden="false" customHeight="false" outlineLevel="0" collapsed="false">
      <c r="A621" s="8" t="str">
        <f aca="false">HYPERLINK("https://www.fabsurplus.com/sdi_catalog/salesItemDetails.do?id=98024")</f>
        <v>https://www.fabsurplus.com/sdi_catalog/salesItemDetails.do?id=98024</v>
      </c>
      <c r="B621" s="8" t="s">
        <v>1571</v>
      </c>
      <c r="C621" s="8" t="s">
        <v>97</v>
      </c>
      <c r="D621" s="8" t="s">
        <v>1569</v>
      </c>
      <c r="E621" s="8" t="s">
        <v>1570</v>
      </c>
      <c r="F621" s="8" t="s">
        <v>16</v>
      </c>
      <c r="G621" s="8" t="s">
        <v>310</v>
      </c>
      <c r="H621" s="8"/>
      <c r="I621" s="9" t="n">
        <v>43252</v>
      </c>
      <c r="J621" s="8" t="s">
        <v>19</v>
      </c>
      <c r="K621" s="8"/>
    </row>
    <row r="622" customFormat="false" ht="12.8" hidden="false" customHeight="false" outlineLevel="0" collapsed="false">
      <c r="A622" s="6" t="str">
        <f aca="false">HYPERLINK("https://www.fabsurplus.com/sdi_catalog/salesItemDetails.do?id=98023")</f>
        <v>https://www.fabsurplus.com/sdi_catalog/salesItemDetails.do?id=98023</v>
      </c>
      <c r="B622" s="6" t="s">
        <v>1572</v>
      </c>
      <c r="C622" s="6" t="s">
        <v>97</v>
      </c>
      <c r="D622" s="6" t="s">
        <v>1569</v>
      </c>
      <c r="E622" s="6" t="s">
        <v>1570</v>
      </c>
      <c r="F622" s="6" t="s">
        <v>16</v>
      </c>
      <c r="G622" s="6" t="s">
        <v>310</v>
      </c>
      <c r="H622" s="6"/>
      <c r="I622" s="7" t="n">
        <v>38869</v>
      </c>
      <c r="J622" s="6" t="s">
        <v>19</v>
      </c>
      <c r="K622" s="6"/>
    </row>
    <row r="623" customFormat="false" ht="12.8" hidden="false" customHeight="false" outlineLevel="0" collapsed="false">
      <c r="A623" s="8" t="str">
        <f aca="false">HYPERLINK("https://www.fabsurplus.com/sdi_catalog/salesItemDetails.do?id=98800")</f>
        <v>https://www.fabsurplus.com/sdi_catalog/salesItemDetails.do?id=98800</v>
      </c>
      <c r="B623" s="8" t="s">
        <v>1573</v>
      </c>
      <c r="C623" s="8" t="s">
        <v>97</v>
      </c>
      <c r="D623" s="8" t="s">
        <v>1574</v>
      </c>
      <c r="E623" s="8" t="s">
        <v>1575</v>
      </c>
      <c r="F623" s="8" t="s">
        <v>16</v>
      </c>
      <c r="G623" s="8" t="s">
        <v>310</v>
      </c>
      <c r="H623" s="8" t="s">
        <v>18</v>
      </c>
      <c r="I623" s="9" t="n">
        <v>43525</v>
      </c>
      <c r="J623" s="8" t="s">
        <v>19</v>
      </c>
      <c r="K623" s="8" t="s">
        <v>20</v>
      </c>
    </row>
    <row r="624" customFormat="false" ht="12.8" hidden="false" customHeight="false" outlineLevel="0" collapsed="false">
      <c r="A624" s="8" t="str">
        <f aca="false">HYPERLINK("https://www.fabsurplus.com/sdi_catalog/salesItemDetails.do?id=98799")</f>
        <v>https://www.fabsurplus.com/sdi_catalog/salesItemDetails.do?id=98799</v>
      </c>
      <c r="B624" s="8" t="s">
        <v>1576</v>
      </c>
      <c r="C624" s="8" t="s">
        <v>97</v>
      </c>
      <c r="D624" s="8" t="s">
        <v>1574</v>
      </c>
      <c r="E624" s="8" t="s">
        <v>1575</v>
      </c>
      <c r="F624" s="8" t="s">
        <v>16</v>
      </c>
      <c r="G624" s="8" t="s">
        <v>310</v>
      </c>
      <c r="H624" s="8" t="s">
        <v>18</v>
      </c>
      <c r="I624" s="9" t="n">
        <v>43525</v>
      </c>
      <c r="J624" s="8" t="s">
        <v>19</v>
      </c>
      <c r="K624" s="8" t="s">
        <v>20</v>
      </c>
    </row>
    <row r="625" customFormat="false" ht="12.8" hidden="false" customHeight="false" outlineLevel="0" collapsed="false">
      <c r="A625" s="6" t="str">
        <f aca="false">HYPERLINK("https://www.fabsurplus.com/sdi_catalog/salesItemDetails.do?id=98801")</f>
        <v>https://www.fabsurplus.com/sdi_catalog/salesItemDetails.do?id=98801</v>
      </c>
      <c r="B625" s="6" t="s">
        <v>1577</v>
      </c>
      <c r="C625" s="6" t="s">
        <v>97</v>
      </c>
      <c r="D625" s="6" t="s">
        <v>1574</v>
      </c>
      <c r="E625" s="6" t="s">
        <v>1578</v>
      </c>
      <c r="F625" s="6" t="s">
        <v>16</v>
      </c>
      <c r="G625" s="6" t="s">
        <v>310</v>
      </c>
      <c r="H625" s="6"/>
      <c r="I625" s="7" t="n">
        <v>37742</v>
      </c>
      <c r="J625" s="6" t="s">
        <v>19</v>
      </c>
      <c r="K625" s="6"/>
    </row>
    <row r="626" customFormat="false" ht="12.8" hidden="false" customHeight="false" outlineLevel="0" collapsed="false">
      <c r="A626" s="6" t="str">
        <f aca="false">HYPERLINK("https://www.fabsurplus.com/sdi_catalog/salesItemDetails.do?id=98798")</f>
        <v>https://www.fabsurplus.com/sdi_catalog/salesItemDetails.do?id=98798</v>
      </c>
      <c r="B626" s="6" t="s">
        <v>1579</v>
      </c>
      <c r="C626" s="6" t="s">
        <v>97</v>
      </c>
      <c r="D626" s="6" t="s">
        <v>1574</v>
      </c>
      <c r="E626" s="6" t="s">
        <v>1580</v>
      </c>
      <c r="F626" s="6" t="s">
        <v>16</v>
      </c>
      <c r="G626" s="6" t="s">
        <v>310</v>
      </c>
      <c r="H626" s="6" t="s">
        <v>18</v>
      </c>
      <c r="I626" s="7" t="n">
        <v>43160</v>
      </c>
      <c r="J626" s="6" t="s">
        <v>19</v>
      </c>
      <c r="K626" s="6" t="s">
        <v>20</v>
      </c>
    </row>
    <row r="627" customFormat="false" ht="12.8" hidden="false" customHeight="false" outlineLevel="0" collapsed="false">
      <c r="A627" s="6" t="str">
        <f aca="false">HYPERLINK("https://www.fabsurplus.com/sdi_catalog/salesItemDetails.do?id=98797")</f>
        <v>https://www.fabsurplus.com/sdi_catalog/salesItemDetails.do?id=98797</v>
      </c>
      <c r="B627" s="6" t="s">
        <v>1581</v>
      </c>
      <c r="C627" s="6" t="s">
        <v>97</v>
      </c>
      <c r="D627" s="6" t="s">
        <v>1574</v>
      </c>
      <c r="E627" s="6" t="s">
        <v>1580</v>
      </c>
      <c r="F627" s="6" t="s">
        <v>16</v>
      </c>
      <c r="G627" s="6" t="s">
        <v>310</v>
      </c>
      <c r="H627" s="6" t="s">
        <v>18</v>
      </c>
      <c r="I627" s="7" t="n">
        <v>43160</v>
      </c>
      <c r="J627" s="6" t="s">
        <v>19</v>
      </c>
      <c r="K627" s="6" t="s">
        <v>20</v>
      </c>
    </row>
    <row r="628" customFormat="false" ht="12.8" hidden="false" customHeight="false" outlineLevel="0" collapsed="false">
      <c r="A628" s="6" t="str">
        <f aca="false">HYPERLINK("https://www.fabsurplus.com/sdi_catalog/salesItemDetails.do?id=98074")</f>
        <v>https://www.fabsurplus.com/sdi_catalog/salesItemDetails.do?id=98074</v>
      </c>
      <c r="B628" s="6" t="s">
        <v>1582</v>
      </c>
      <c r="C628" s="6" t="s">
        <v>97</v>
      </c>
      <c r="D628" s="6" t="s">
        <v>1583</v>
      </c>
      <c r="E628" s="6" t="s">
        <v>1584</v>
      </c>
      <c r="F628" s="6" t="s">
        <v>16</v>
      </c>
      <c r="G628" s="6" t="s">
        <v>310</v>
      </c>
      <c r="H628" s="6"/>
      <c r="I628" s="6"/>
      <c r="J628" s="6" t="s">
        <v>19</v>
      </c>
      <c r="K628" s="6"/>
    </row>
    <row r="629" customFormat="false" ht="12.8" hidden="false" customHeight="false" outlineLevel="0" collapsed="false">
      <c r="A629" s="6" t="str">
        <f aca="false">HYPERLINK("https://www.fabsurplus.com/sdi_catalog/salesItemDetails.do?id=98075")</f>
        <v>https://www.fabsurplus.com/sdi_catalog/salesItemDetails.do?id=98075</v>
      </c>
      <c r="B629" s="6" t="s">
        <v>1585</v>
      </c>
      <c r="C629" s="6" t="s">
        <v>97</v>
      </c>
      <c r="D629" s="6" t="s">
        <v>1586</v>
      </c>
      <c r="E629" s="6" t="s">
        <v>1575</v>
      </c>
      <c r="F629" s="6" t="s">
        <v>16</v>
      </c>
      <c r="G629" s="6" t="s">
        <v>310</v>
      </c>
      <c r="H629" s="6"/>
      <c r="I629" s="7" t="n">
        <v>37773</v>
      </c>
      <c r="J629" s="6" t="s">
        <v>19</v>
      </c>
      <c r="K629" s="6"/>
    </row>
    <row r="630" customFormat="false" ht="12.8" hidden="false" customHeight="false" outlineLevel="0" collapsed="false">
      <c r="A630" s="8" t="str">
        <f aca="false">HYPERLINK("https://www.fabsurplus.com/sdi_catalog/salesItemDetails.do?id=98076")</f>
        <v>https://www.fabsurplus.com/sdi_catalog/salesItemDetails.do?id=98076</v>
      </c>
      <c r="B630" s="8" t="s">
        <v>1587</v>
      </c>
      <c r="C630" s="8" t="s">
        <v>97</v>
      </c>
      <c r="D630" s="8" t="s">
        <v>1586</v>
      </c>
      <c r="E630" s="8" t="s">
        <v>1570</v>
      </c>
      <c r="F630" s="8" t="s">
        <v>16</v>
      </c>
      <c r="G630" s="8" t="s">
        <v>310</v>
      </c>
      <c r="H630" s="8"/>
      <c r="I630" s="9" t="n">
        <v>38139</v>
      </c>
      <c r="J630" s="8" t="s">
        <v>19</v>
      </c>
      <c r="K630" s="8"/>
    </row>
    <row r="631" customFormat="false" ht="12.8" hidden="false" customHeight="false" outlineLevel="0" collapsed="false">
      <c r="A631" s="8" t="str">
        <f aca="false">HYPERLINK("https://www.fabsurplus.com/sdi_catalog/salesItemDetails.do?id=98077")</f>
        <v>https://www.fabsurplus.com/sdi_catalog/salesItemDetails.do?id=98077</v>
      </c>
      <c r="B631" s="8" t="s">
        <v>1588</v>
      </c>
      <c r="C631" s="8" t="s">
        <v>97</v>
      </c>
      <c r="D631" s="8" t="s">
        <v>1589</v>
      </c>
      <c r="E631" s="8" t="s">
        <v>1590</v>
      </c>
      <c r="F631" s="8" t="s">
        <v>16</v>
      </c>
      <c r="G631" s="8" t="s">
        <v>310</v>
      </c>
      <c r="H631" s="8"/>
      <c r="I631" s="8"/>
      <c r="J631" s="8" t="s">
        <v>19</v>
      </c>
      <c r="K631" s="8"/>
    </row>
    <row r="632" customFormat="false" ht="12.8" hidden="false" customHeight="false" outlineLevel="0" collapsed="false">
      <c r="A632" s="6" t="str">
        <f aca="false">HYPERLINK("https://www.fabsurplus.com/sdi_catalog/salesItemDetails.do?id=98262")</f>
        <v>https://www.fabsurplus.com/sdi_catalog/salesItemDetails.do?id=98262</v>
      </c>
      <c r="B632" s="6" t="s">
        <v>1591</v>
      </c>
      <c r="C632" s="6" t="s">
        <v>97</v>
      </c>
      <c r="D632" s="6" t="s">
        <v>1592</v>
      </c>
      <c r="E632" s="6" t="s">
        <v>1570</v>
      </c>
      <c r="F632" s="6" t="s">
        <v>16</v>
      </c>
      <c r="G632" s="6" t="s">
        <v>310</v>
      </c>
      <c r="H632" s="6"/>
      <c r="I632" s="6"/>
      <c r="J632" s="6" t="s">
        <v>19</v>
      </c>
      <c r="K632" s="6"/>
    </row>
    <row r="633" customFormat="false" ht="12.8" hidden="false" customHeight="false" outlineLevel="0" collapsed="false">
      <c r="A633" s="6" t="str">
        <f aca="false">HYPERLINK("https://www.fabsurplus.com/sdi_catalog/salesItemDetails.do?id=97541")</f>
        <v>https://www.fabsurplus.com/sdi_catalog/salesItemDetails.do?id=97541</v>
      </c>
      <c r="B633" s="6" t="s">
        <v>1593</v>
      </c>
      <c r="C633" s="6" t="s">
        <v>97</v>
      </c>
      <c r="D633" s="6" t="s">
        <v>1594</v>
      </c>
      <c r="E633" s="6" t="s">
        <v>1595</v>
      </c>
      <c r="F633" s="6" t="s">
        <v>16</v>
      </c>
      <c r="G633" s="6" t="s">
        <v>310</v>
      </c>
      <c r="H633" s="6"/>
      <c r="I633" s="6"/>
      <c r="J633" s="6" t="s">
        <v>19</v>
      </c>
      <c r="K633" s="6"/>
    </row>
    <row r="634" customFormat="false" ht="12.8" hidden="false" customHeight="false" outlineLevel="0" collapsed="false">
      <c r="A634" s="6" t="str">
        <f aca="false">HYPERLINK("https://www.fabsurplus.com/sdi_catalog/salesItemDetails.do?id=97540")</f>
        <v>https://www.fabsurplus.com/sdi_catalog/salesItemDetails.do?id=97540</v>
      </c>
      <c r="B634" s="6" t="s">
        <v>1596</v>
      </c>
      <c r="C634" s="6" t="s">
        <v>97</v>
      </c>
      <c r="D634" s="6" t="s">
        <v>1594</v>
      </c>
      <c r="E634" s="6" t="s">
        <v>1595</v>
      </c>
      <c r="F634" s="6" t="s">
        <v>16</v>
      </c>
      <c r="G634" s="6" t="s">
        <v>310</v>
      </c>
      <c r="H634" s="6"/>
      <c r="I634" s="6"/>
      <c r="J634" s="6" t="s">
        <v>19</v>
      </c>
      <c r="K634" s="6"/>
    </row>
    <row r="635" customFormat="false" ht="12.8" hidden="false" customHeight="false" outlineLevel="0" collapsed="false">
      <c r="A635" s="6" t="str">
        <f aca="false">HYPERLINK("https://www.fabsurplus.com/sdi_catalog/salesItemDetails.do?id=97546")</f>
        <v>https://www.fabsurplus.com/sdi_catalog/salesItemDetails.do?id=97546</v>
      </c>
      <c r="B635" s="6" t="s">
        <v>1597</v>
      </c>
      <c r="C635" s="6" t="s">
        <v>97</v>
      </c>
      <c r="D635" s="6" t="s">
        <v>1598</v>
      </c>
      <c r="E635" s="6" t="s">
        <v>1599</v>
      </c>
      <c r="F635" s="6" t="s">
        <v>16</v>
      </c>
      <c r="G635" s="6" t="s">
        <v>310</v>
      </c>
      <c r="H635" s="6"/>
      <c r="I635" s="6"/>
      <c r="J635" s="6" t="s">
        <v>19</v>
      </c>
      <c r="K635" s="6"/>
    </row>
    <row r="636" customFormat="false" ht="12.8" hidden="false" customHeight="false" outlineLevel="0" collapsed="false">
      <c r="A636" s="8" t="str">
        <f aca="false">HYPERLINK("https://www.fabsurplus.com/sdi_catalog/salesItemDetails.do?id=97545")</f>
        <v>https://www.fabsurplus.com/sdi_catalog/salesItemDetails.do?id=97545</v>
      </c>
      <c r="B636" s="8" t="s">
        <v>1600</v>
      </c>
      <c r="C636" s="8" t="s">
        <v>97</v>
      </c>
      <c r="D636" s="8" t="s">
        <v>1598</v>
      </c>
      <c r="E636" s="8" t="s">
        <v>1599</v>
      </c>
      <c r="F636" s="8" t="s">
        <v>16</v>
      </c>
      <c r="G636" s="8" t="s">
        <v>310</v>
      </c>
      <c r="H636" s="8"/>
      <c r="I636" s="8"/>
      <c r="J636" s="8" t="s">
        <v>19</v>
      </c>
      <c r="K636" s="8"/>
    </row>
    <row r="637" customFormat="false" ht="12.8" hidden="false" customHeight="false" outlineLevel="0" collapsed="false">
      <c r="A637" s="8" t="str">
        <f aca="false">HYPERLINK("https://www.fabsurplus.com/sdi_catalog/salesItemDetails.do?id=97544")</f>
        <v>https://www.fabsurplus.com/sdi_catalog/salesItemDetails.do?id=97544</v>
      </c>
      <c r="B637" s="8" t="s">
        <v>1601</v>
      </c>
      <c r="C637" s="8" t="s">
        <v>97</v>
      </c>
      <c r="D637" s="8" t="s">
        <v>1598</v>
      </c>
      <c r="E637" s="8" t="s">
        <v>1599</v>
      </c>
      <c r="F637" s="8" t="s">
        <v>16</v>
      </c>
      <c r="G637" s="8" t="s">
        <v>310</v>
      </c>
      <c r="H637" s="8"/>
      <c r="I637" s="8"/>
      <c r="J637" s="8" t="s">
        <v>19</v>
      </c>
      <c r="K637" s="8"/>
    </row>
    <row r="638" customFormat="false" ht="12.8" hidden="false" customHeight="false" outlineLevel="0" collapsed="false">
      <c r="A638" s="6" t="str">
        <f aca="false">HYPERLINK("https://www.fabsurplus.com/sdi_catalog/salesItemDetails.do?id=100080")</f>
        <v>https://www.fabsurplus.com/sdi_catalog/salesItemDetails.do?id=100080</v>
      </c>
      <c r="B638" s="6" t="s">
        <v>1602</v>
      </c>
      <c r="C638" s="6" t="s">
        <v>97</v>
      </c>
      <c r="D638" s="6" t="s">
        <v>1603</v>
      </c>
      <c r="E638" s="6" t="s">
        <v>1599</v>
      </c>
      <c r="F638" s="6" t="s">
        <v>16</v>
      </c>
      <c r="G638" s="6" t="s">
        <v>686</v>
      </c>
      <c r="H638" s="6"/>
      <c r="I638" s="6"/>
      <c r="J638" s="6" t="s">
        <v>19</v>
      </c>
      <c r="K638" s="6"/>
    </row>
    <row r="639" customFormat="false" ht="12.8" hidden="false" customHeight="false" outlineLevel="0" collapsed="false">
      <c r="A639" s="8" t="str">
        <f aca="false">HYPERLINK("https://www.fabsurplus.com/sdi_catalog/salesItemDetails.do?id=99098")</f>
        <v>https://www.fabsurplus.com/sdi_catalog/salesItemDetails.do?id=99098</v>
      </c>
      <c r="B639" s="8" t="s">
        <v>1604</v>
      </c>
      <c r="C639" s="8" t="s">
        <v>97</v>
      </c>
      <c r="D639" s="8" t="s">
        <v>1605</v>
      </c>
      <c r="E639" s="8" t="s">
        <v>1599</v>
      </c>
      <c r="F639" s="8" t="s">
        <v>16</v>
      </c>
      <c r="G639" s="8" t="s">
        <v>686</v>
      </c>
      <c r="H639" s="8"/>
      <c r="I639" s="8"/>
      <c r="J639" s="8" t="s">
        <v>19</v>
      </c>
      <c r="K639" s="8"/>
    </row>
    <row r="640" customFormat="false" ht="12.8" hidden="false" customHeight="false" outlineLevel="0" collapsed="false">
      <c r="A640" s="6" t="str">
        <f aca="false">HYPERLINK("https://www.fabsurplus.com/sdi_catalog/salesItemDetails.do?id=100085")</f>
        <v>https://www.fabsurplus.com/sdi_catalog/salesItemDetails.do?id=100085</v>
      </c>
      <c r="B640" s="6" t="s">
        <v>1606</v>
      </c>
      <c r="C640" s="6" t="s">
        <v>97</v>
      </c>
      <c r="D640" s="6" t="s">
        <v>1607</v>
      </c>
      <c r="E640" s="6" t="s">
        <v>1599</v>
      </c>
      <c r="F640" s="6" t="s">
        <v>16</v>
      </c>
      <c r="G640" s="6" t="s">
        <v>686</v>
      </c>
      <c r="H640" s="6"/>
      <c r="I640" s="6"/>
      <c r="J640" s="6" t="s">
        <v>19</v>
      </c>
      <c r="K640" s="6"/>
    </row>
    <row r="641" customFormat="false" ht="12.8" hidden="false" customHeight="false" outlineLevel="0" collapsed="false">
      <c r="A641" s="6" t="str">
        <f aca="false">HYPERLINK("https://www.fabsurplus.com/sdi_catalog/salesItemDetails.do?id=100084")</f>
        <v>https://www.fabsurplus.com/sdi_catalog/salesItemDetails.do?id=100084</v>
      </c>
      <c r="B641" s="6" t="s">
        <v>1608</v>
      </c>
      <c r="C641" s="6" t="s">
        <v>97</v>
      </c>
      <c r="D641" s="6" t="s">
        <v>1607</v>
      </c>
      <c r="E641" s="6" t="s">
        <v>1599</v>
      </c>
      <c r="F641" s="6" t="s">
        <v>16</v>
      </c>
      <c r="G641" s="6" t="s">
        <v>686</v>
      </c>
      <c r="H641" s="6"/>
      <c r="I641" s="6"/>
      <c r="J641" s="6" t="s">
        <v>19</v>
      </c>
      <c r="K641" s="6"/>
    </row>
    <row r="642" customFormat="false" ht="12.8" hidden="false" customHeight="false" outlineLevel="0" collapsed="false">
      <c r="A642" s="6" t="str">
        <f aca="false">HYPERLINK("https://www.fabsurplus.com/sdi_catalog/salesItemDetails.do?id=100083")</f>
        <v>https://www.fabsurplus.com/sdi_catalog/salesItemDetails.do?id=100083</v>
      </c>
      <c r="B642" s="6" t="s">
        <v>1609</v>
      </c>
      <c r="C642" s="6" t="s">
        <v>97</v>
      </c>
      <c r="D642" s="6" t="s">
        <v>1607</v>
      </c>
      <c r="E642" s="6" t="s">
        <v>1599</v>
      </c>
      <c r="F642" s="6" t="s">
        <v>16</v>
      </c>
      <c r="G642" s="6" t="s">
        <v>686</v>
      </c>
      <c r="H642" s="6"/>
      <c r="I642" s="6"/>
      <c r="J642" s="6" t="s">
        <v>19</v>
      </c>
      <c r="K642" s="6"/>
    </row>
    <row r="643" customFormat="false" ht="12.8" hidden="false" customHeight="false" outlineLevel="0" collapsed="false">
      <c r="A643" s="6" t="str">
        <f aca="false">HYPERLINK("https://www.fabsurplus.com/sdi_catalog/salesItemDetails.do?id=100082")</f>
        <v>https://www.fabsurplus.com/sdi_catalog/salesItemDetails.do?id=100082</v>
      </c>
      <c r="B643" s="6" t="s">
        <v>1610</v>
      </c>
      <c r="C643" s="6" t="s">
        <v>97</v>
      </c>
      <c r="D643" s="6" t="s">
        <v>1607</v>
      </c>
      <c r="E643" s="6" t="s">
        <v>1599</v>
      </c>
      <c r="F643" s="6" t="s">
        <v>16</v>
      </c>
      <c r="G643" s="6" t="s">
        <v>686</v>
      </c>
      <c r="H643" s="6"/>
      <c r="I643" s="6"/>
      <c r="J643" s="6" t="s">
        <v>19</v>
      </c>
      <c r="K643" s="6"/>
    </row>
    <row r="644" customFormat="false" ht="12.8" hidden="false" customHeight="false" outlineLevel="0" collapsed="false">
      <c r="A644" s="8" t="str">
        <f aca="false">HYPERLINK("https://www.fabsurplus.com/sdi_catalog/salesItemDetails.do?id=100081")</f>
        <v>https://www.fabsurplus.com/sdi_catalog/salesItemDetails.do?id=100081</v>
      </c>
      <c r="B644" s="8" t="s">
        <v>1611</v>
      </c>
      <c r="C644" s="8" t="s">
        <v>97</v>
      </c>
      <c r="D644" s="8" t="s">
        <v>1607</v>
      </c>
      <c r="E644" s="8" t="s">
        <v>1599</v>
      </c>
      <c r="F644" s="8" t="s">
        <v>16</v>
      </c>
      <c r="G644" s="8" t="s">
        <v>686</v>
      </c>
      <c r="H644" s="8"/>
      <c r="I644" s="8"/>
      <c r="J644" s="8" t="s">
        <v>19</v>
      </c>
      <c r="K644" s="8"/>
    </row>
    <row r="645" customFormat="false" ht="12.8" hidden="false" customHeight="false" outlineLevel="0" collapsed="false">
      <c r="A645" s="8" t="str">
        <f aca="false">HYPERLINK("https://www.fabsurplus.com/sdi_catalog/salesItemDetails.do?id=97553")</f>
        <v>https://www.fabsurplus.com/sdi_catalog/salesItemDetails.do?id=97553</v>
      </c>
      <c r="B645" s="8" t="s">
        <v>1612</v>
      </c>
      <c r="C645" s="8" t="s">
        <v>97</v>
      </c>
      <c r="D645" s="8" t="s">
        <v>1613</v>
      </c>
      <c r="E645" s="8" t="s">
        <v>1599</v>
      </c>
      <c r="F645" s="8" t="s">
        <v>16</v>
      </c>
      <c r="G645" s="8" t="s">
        <v>310</v>
      </c>
      <c r="H645" s="8"/>
      <c r="I645" s="8"/>
      <c r="J645" s="8" t="s">
        <v>19</v>
      </c>
      <c r="K645" s="8"/>
    </row>
    <row r="646" customFormat="false" ht="12.8" hidden="false" customHeight="false" outlineLevel="0" collapsed="false">
      <c r="A646" s="8" t="str">
        <f aca="false">HYPERLINK("https://www.fabsurplus.com/sdi_catalog/salesItemDetails.do?id=96824")</f>
        <v>https://www.fabsurplus.com/sdi_catalog/salesItemDetails.do?id=96824</v>
      </c>
      <c r="B646" s="8" t="s">
        <v>1614</v>
      </c>
      <c r="C646" s="8" t="s">
        <v>97</v>
      </c>
      <c r="D646" s="8" t="s">
        <v>1613</v>
      </c>
      <c r="E646" s="8" t="s">
        <v>1599</v>
      </c>
      <c r="F646" s="8" t="s">
        <v>16</v>
      </c>
      <c r="G646" s="8" t="s">
        <v>310</v>
      </c>
      <c r="H646" s="8"/>
      <c r="I646" s="8"/>
      <c r="J646" s="8" t="s">
        <v>19</v>
      </c>
      <c r="K646" s="8"/>
    </row>
    <row r="647" customFormat="false" ht="12.8" hidden="false" customHeight="false" outlineLevel="0" collapsed="false">
      <c r="A647" s="6" t="str">
        <f aca="false">HYPERLINK("https://www.fabsurplus.com/sdi_catalog/salesItemDetails.do?id=96823")</f>
        <v>https://www.fabsurplus.com/sdi_catalog/salesItemDetails.do?id=96823</v>
      </c>
      <c r="B647" s="6" t="s">
        <v>1615</v>
      </c>
      <c r="C647" s="6" t="s">
        <v>97</v>
      </c>
      <c r="D647" s="6" t="s">
        <v>1613</v>
      </c>
      <c r="E647" s="6" t="s">
        <v>1599</v>
      </c>
      <c r="F647" s="6" t="s">
        <v>16</v>
      </c>
      <c r="G647" s="6" t="s">
        <v>310</v>
      </c>
      <c r="H647" s="6"/>
      <c r="I647" s="6"/>
      <c r="J647" s="6" t="s">
        <v>19</v>
      </c>
      <c r="K647" s="6"/>
    </row>
    <row r="648" customFormat="false" ht="12.8" hidden="false" customHeight="false" outlineLevel="0" collapsed="false">
      <c r="A648" s="8" t="str">
        <f aca="false">HYPERLINK("https://www.fabsurplus.com/sdi_catalog/salesItemDetails.do?id=96822")</f>
        <v>https://www.fabsurplus.com/sdi_catalog/salesItemDetails.do?id=96822</v>
      </c>
      <c r="B648" s="8" t="s">
        <v>1616</v>
      </c>
      <c r="C648" s="8" t="s">
        <v>97</v>
      </c>
      <c r="D648" s="8" t="s">
        <v>1613</v>
      </c>
      <c r="E648" s="8" t="s">
        <v>1599</v>
      </c>
      <c r="F648" s="8" t="s">
        <v>16</v>
      </c>
      <c r="G648" s="8" t="s">
        <v>310</v>
      </c>
      <c r="H648" s="8"/>
      <c r="I648" s="8"/>
      <c r="J648" s="8" t="s">
        <v>19</v>
      </c>
      <c r="K648" s="8"/>
    </row>
    <row r="649" customFormat="false" ht="12.8" hidden="false" customHeight="false" outlineLevel="0" collapsed="false">
      <c r="A649" s="8" t="str">
        <f aca="false">HYPERLINK("https://www.fabsurplus.com/sdi_catalog/salesItemDetails.do?id=96821")</f>
        <v>https://www.fabsurplus.com/sdi_catalog/salesItemDetails.do?id=96821</v>
      </c>
      <c r="B649" s="8" t="s">
        <v>1617</v>
      </c>
      <c r="C649" s="8" t="s">
        <v>97</v>
      </c>
      <c r="D649" s="8" t="s">
        <v>1613</v>
      </c>
      <c r="E649" s="8" t="s">
        <v>1599</v>
      </c>
      <c r="F649" s="8" t="s">
        <v>16</v>
      </c>
      <c r="G649" s="8" t="s">
        <v>310</v>
      </c>
      <c r="H649" s="8"/>
      <c r="I649" s="9" t="n">
        <v>38718</v>
      </c>
      <c r="J649" s="8" t="s">
        <v>19</v>
      </c>
      <c r="K649" s="8"/>
    </row>
    <row r="650" customFormat="false" ht="12.8" hidden="false" customHeight="false" outlineLevel="0" collapsed="false">
      <c r="A650" s="6" t="str">
        <f aca="false">HYPERLINK("https://www.fabsurplus.com/sdi_catalog/salesItemDetails.do?id=97053")</f>
        <v>https://www.fabsurplus.com/sdi_catalog/salesItemDetails.do?id=97053</v>
      </c>
      <c r="B650" s="6" t="s">
        <v>1618</v>
      </c>
      <c r="C650" s="6" t="s">
        <v>97</v>
      </c>
      <c r="D650" s="6" t="s">
        <v>1619</v>
      </c>
      <c r="E650" s="6" t="s">
        <v>1620</v>
      </c>
      <c r="F650" s="6" t="s">
        <v>16</v>
      </c>
      <c r="G650" s="6" t="s">
        <v>310</v>
      </c>
      <c r="H650" s="6" t="s">
        <v>18</v>
      </c>
      <c r="I650" s="6"/>
      <c r="J650" s="6" t="s">
        <v>19</v>
      </c>
      <c r="K650" s="6" t="s">
        <v>20</v>
      </c>
    </row>
    <row r="651" customFormat="false" ht="12.8" hidden="false" customHeight="false" outlineLevel="0" collapsed="false">
      <c r="A651" s="6" t="str">
        <f aca="false">HYPERLINK("https://www.fabsurplus.com/sdi_catalog/salesItemDetails.do?id=97054")</f>
        <v>https://www.fabsurplus.com/sdi_catalog/salesItemDetails.do?id=97054</v>
      </c>
      <c r="B651" s="6" t="s">
        <v>1621</v>
      </c>
      <c r="C651" s="6" t="s">
        <v>97</v>
      </c>
      <c r="D651" s="6" t="s">
        <v>1619</v>
      </c>
      <c r="E651" s="6" t="s">
        <v>1622</v>
      </c>
      <c r="F651" s="6" t="s">
        <v>16</v>
      </c>
      <c r="G651" s="6" t="s">
        <v>310</v>
      </c>
      <c r="H651" s="6" t="s">
        <v>18</v>
      </c>
      <c r="I651" s="6"/>
      <c r="J651" s="6" t="s">
        <v>19</v>
      </c>
      <c r="K651" s="6" t="s">
        <v>20</v>
      </c>
    </row>
    <row r="652" customFormat="false" ht="12.8" hidden="false" customHeight="false" outlineLevel="0" collapsed="false">
      <c r="A652" s="6" t="str">
        <f aca="false">HYPERLINK("https://www.fabsurplus.com/sdi_catalog/salesItemDetails.do?id=97055")</f>
        <v>https://www.fabsurplus.com/sdi_catalog/salesItemDetails.do?id=97055</v>
      </c>
      <c r="B652" s="6" t="s">
        <v>1623</v>
      </c>
      <c r="C652" s="6" t="s">
        <v>97</v>
      </c>
      <c r="D652" s="6" t="s">
        <v>1619</v>
      </c>
      <c r="E652" s="6" t="s">
        <v>1624</v>
      </c>
      <c r="F652" s="6" t="s">
        <v>16</v>
      </c>
      <c r="G652" s="6" t="s">
        <v>310</v>
      </c>
      <c r="H652" s="6" t="s">
        <v>18</v>
      </c>
      <c r="I652" s="6"/>
      <c r="J652" s="6" t="s">
        <v>19</v>
      </c>
      <c r="K652" s="6" t="s">
        <v>20</v>
      </c>
    </row>
    <row r="653" customFormat="false" ht="12.8" hidden="false" customHeight="false" outlineLevel="0" collapsed="false">
      <c r="A653" s="8" t="str">
        <f aca="false">HYPERLINK("https://www.fabsurplus.com/sdi_catalog/salesItemDetails.do?id=97056")</f>
        <v>https://www.fabsurplus.com/sdi_catalog/salesItemDetails.do?id=97056</v>
      </c>
      <c r="B653" s="8" t="s">
        <v>1625</v>
      </c>
      <c r="C653" s="8" t="s">
        <v>97</v>
      </c>
      <c r="D653" s="8" t="s">
        <v>1619</v>
      </c>
      <c r="E653" s="8" t="s">
        <v>1626</v>
      </c>
      <c r="F653" s="8" t="s">
        <v>16</v>
      </c>
      <c r="G653" s="8" t="s">
        <v>310</v>
      </c>
      <c r="H653" s="8" t="s">
        <v>18</v>
      </c>
      <c r="I653" s="8"/>
      <c r="J653" s="8" t="s">
        <v>19</v>
      </c>
      <c r="K653" s="8" t="s">
        <v>20</v>
      </c>
    </row>
    <row r="654" customFormat="false" ht="12.8" hidden="false" customHeight="false" outlineLevel="0" collapsed="false">
      <c r="A654" s="8" t="str">
        <f aca="false">HYPERLINK("https://www.fabsurplus.com/sdi_catalog/salesItemDetails.do?id=97057")</f>
        <v>https://www.fabsurplus.com/sdi_catalog/salesItemDetails.do?id=97057</v>
      </c>
      <c r="B654" s="8" t="s">
        <v>1627</v>
      </c>
      <c r="C654" s="8" t="s">
        <v>97</v>
      </c>
      <c r="D654" s="8" t="s">
        <v>1619</v>
      </c>
      <c r="E654" s="8" t="s">
        <v>1628</v>
      </c>
      <c r="F654" s="8" t="s">
        <v>16</v>
      </c>
      <c r="G654" s="8" t="s">
        <v>310</v>
      </c>
      <c r="H654" s="8" t="s">
        <v>18</v>
      </c>
      <c r="I654" s="8"/>
      <c r="J654" s="8" t="s">
        <v>19</v>
      </c>
      <c r="K654" s="8" t="s">
        <v>20</v>
      </c>
    </row>
    <row r="655" customFormat="false" ht="12.8" hidden="false" customHeight="false" outlineLevel="0" collapsed="false">
      <c r="A655" s="6" t="str">
        <f aca="false">HYPERLINK("https://www.fabsurplus.com/sdi_catalog/salesItemDetails.do?id=97059")</f>
        <v>https://www.fabsurplus.com/sdi_catalog/salesItemDetails.do?id=97059</v>
      </c>
      <c r="B655" s="6" t="s">
        <v>1629</v>
      </c>
      <c r="C655" s="6" t="s">
        <v>97</v>
      </c>
      <c r="D655" s="6" t="s">
        <v>1619</v>
      </c>
      <c r="E655" s="6" t="s">
        <v>1630</v>
      </c>
      <c r="F655" s="6" t="s">
        <v>16</v>
      </c>
      <c r="G655" s="6" t="s">
        <v>310</v>
      </c>
      <c r="H655" s="6" t="s">
        <v>18</v>
      </c>
      <c r="I655" s="6"/>
      <c r="J655" s="6" t="s">
        <v>19</v>
      </c>
      <c r="K655" s="6" t="s">
        <v>20</v>
      </c>
    </row>
    <row r="656" customFormat="false" ht="12.8" hidden="false" customHeight="false" outlineLevel="0" collapsed="false">
      <c r="A656" s="6" t="str">
        <f aca="false">HYPERLINK("https://www.fabsurplus.com/sdi_catalog/salesItemDetails.do?id=97058")</f>
        <v>https://www.fabsurplus.com/sdi_catalog/salesItemDetails.do?id=97058</v>
      </c>
      <c r="B656" s="6" t="s">
        <v>1631</v>
      </c>
      <c r="C656" s="6" t="s">
        <v>97</v>
      </c>
      <c r="D656" s="6" t="s">
        <v>1619</v>
      </c>
      <c r="E656" s="6" t="s">
        <v>1630</v>
      </c>
      <c r="F656" s="6" t="s">
        <v>16</v>
      </c>
      <c r="G656" s="6" t="s">
        <v>310</v>
      </c>
      <c r="H656" s="6" t="s">
        <v>18</v>
      </c>
      <c r="I656" s="6"/>
      <c r="J656" s="6" t="s">
        <v>19</v>
      </c>
      <c r="K656" s="6" t="s">
        <v>20</v>
      </c>
    </row>
    <row r="657" customFormat="false" ht="12.8" hidden="false" customHeight="false" outlineLevel="0" collapsed="false">
      <c r="A657" s="6" t="str">
        <f aca="false">HYPERLINK("https://www.fabsurplus.com/sdi_catalog/salesItemDetails.do?id=97063")</f>
        <v>https://www.fabsurplus.com/sdi_catalog/salesItemDetails.do?id=97063</v>
      </c>
      <c r="B657" s="6" t="s">
        <v>1632</v>
      </c>
      <c r="C657" s="6" t="s">
        <v>97</v>
      </c>
      <c r="D657" s="6" t="s">
        <v>1633</v>
      </c>
      <c r="E657" s="6" t="s">
        <v>1634</v>
      </c>
      <c r="F657" s="6" t="s">
        <v>16</v>
      </c>
      <c r="G657" s="6" t="s">
        <v>310</v>
      </c>
      <c r="H657" s="6" t="s">
        <v>33</v>
      </c>
      <c r="I657" s="6"/>
      <c r="J657" s="6" t="s">
        <v>19</v>
      </c>
      <c r="K657" s="6" t="s">
        <v>20</v>
      </c>
    </row>
    <row r="658" customFormat="false" ht="12.8" hidden="false" customHeight="false" outlineLevel="0" collapsed="false">
      <c r="A658" s="8" t="str">
        <f aca="false">HYPERLINK("https://www.fabsurplus.com/sdi_catalog/salesItemDetails.do?id=97062")</f>
        <v>https://www.fabsurplus.com/sdi_catalog/salesItemDetails.do?id=97062</v>
      </c>
      <c r="B658" s="8" t="s">
        <v>1635</v>
      </c>
      <c r="C658" s="8" t="s">
        <v>97</v>
      </c>
      <c r="D658" s="8" t="s">
        <v>1633</v>
      </c>
      <c r="E658" s="8" t="s">
        <v>1634</v>
      </c>
      <c r="F658" s="8" t="s">
        <v>16</v>
      </c>
      <c r="G658" s="8" t="s">
        <v>310</v>
      </c>
      <c r="H658" s="8" t="s">
        <v>18</v>
      </c>
      <c r="I658" s="8"/>
      <c r="J658" s="8" t="s">
        <v>19</v>
      </c>
      <c r="K658" s="8" t="s">
        <v>20</v>
      </c>
    </row>
    <row r="659" customFormat="false" ht="12.8" hidden="false" customHeight="false" outlineLevel="0" collapsed="false">
      <c r="A659" s="8" t="str">
        <f aca="false">HYPERLINK("https://www.fabsurplus.com/sdi_catalog/salesItemDetails.do?id=97061")</f>
        <v>https://www.fabsurplus.com/sdi_catalog/salesItemDetails.do?id=97061</v>
      </c>
      <c r="B659" s="8" t="s">
        <v>1636</v>
      </c>
      <c r="C659" s="8" t="s">
        <v>97</v>
      </c>
      <c r="D659" s="8" t="s">
        <v>1633</v>
      </c>
      <c r="E659" s="8" t="s">
        <v>1634</v>
      </c>
      <c r="F659" s="8" t="s">
        <v>16</v>
      </c>
      <c r="G659" s="8" t="s">
        <v>310</v>
      </c>
      <c r="H659" s="8" t="s">
        <v>18</v>
      </c>
      <c r="I659" s="8"/>
      <c r="J659" s="8" t="s">
        <v>19</v>
      </c>
      <c r="K659" s="8" t="s">
        <v>20</v>
      </c>
    </row>
    <row r="660" customFormat="false" ht="12.8" hidden="false" customHeight="false" outlineLevel="0" collapsed="false">
      <c r="A660" s="8" t="str">
        <f aca="false">HYPERLINK("https://www.fabsurplus.com/sdi_catalog/salesItemDetails.do?id=97060")</f>
        <v>https://www.fabsurplus.com/sdi_catalog/salesItemDetails.do?id=97060</v>
      </c>
      <c r="B660" s="8" t="s">
        <v>1637</v>
      </c>
      <c r="C660" s="8" t="s">
        <v>97</v>
      </c>
      <c r="D660" s="8" t="s">
        <v>1633</v>
      </c>
      <c r="E660" s="8" t="s">
        <v>1634</v>
      </c>
      <c r="F660" s="8" t="s">
        <v>16</v>
      </c>
      <c r="G660" s="8" t="s">
        <v>310</v>
      </c>
      <c r="H660" s="8" t="s">
        <v>18</v>
      </c>
      <c r="I660" s="8"/>
      <c r="J660" s="8" t="s">
        <v>19</v>
      </c>
      <c r="K660" s="8" t="s">
        <v>20</v>
      </c>
    </row>
    <row r="661" customFormat="false" ht="12.8" hidden="false" customHeight="false" outlineLevel="0" collapsed="false">
      <c r="A661" s="6" t="str">
        <f aca="false">HYPERLINK("https://www.fabsurplus.com/sdi_catalog/salesItemDetails.do?id=98997")</f>
        <v>https://www.fabsurplus.com/sdi_catalog/salesItemDetails.do?id=98997</v>
      </c>
      <c r="B661" s="6" t="s">
        <v>1638</v>
      </c>
      <c r="C661" s="6" t="s">
        <v>97</v>
      </c>
      <c r="D661" s="6" t="s">
        <v>1639</v>
      </c>
      <c r="E661" s="6" t="s">
        <v>1570</v>
      </c>
      <c r="F661" s="6" t="s">
        <v>16</v>
      </c>
      <c r="G661" s="6" t="s">
        <v>310</v>
      </c>
      <c r="H661" s="6"/>
      <c r="I661" s="7" t="n">
        <v>43647</v>
      </c>
      <c r="J661" s="6" t="s">
        <v>19</v>
      </c>
      <c r="K661" s="6"/>
    </row>
    <row r="662" customFormat="false" ht="12.8" hidden="false" customHeight="false" outlineLevel="0" collapsed="false">
      <c r="A662" s="8" t="str">
        <f aca="false">HYPERLINK("https://www.fabsurplus.com/sdi_catalog/salesItemDetails.do?id=98996")</f>
        <v>https://www.fabsurplus.com/sdi_catalog/salesItemDetails.do?id=98996</v>
      </c>
      <c r="B662" s="8" t="s">
        <v>1640</v>
      </c>
      <c r="C662" s="8" t="s">
        <v>97</v>
      </c>
      <c r="D662" s="8" t="s">
        <v>1639</v>
      </c>
      <c r="E662" s="8" t="s">
        <v>1570</v>
      </c>
      <c r="F662" s="8" t="s">
        <v>16</v>
      </c>
      <c r="G662" s="8" t="s">
        <v>310</v>
      </c>
      <c r="H662" s="8"/>
      <c r="I662" s="9" t="n">
        <v>43647</v>
      </c>
      <c r="J662" s="8" t="s">
        <v>19</v>
      </c>
      <c r="K662" s="8"/>
    </row>
    <row r="663" customFormat="false" ht="12.8" hidden="false" customHeight="false" outlineLevel="0" collapsed="false">
      <c r="A663" s="8" t="str">
        <f aca="false">HYPERLINK("https://www.fabsurplus.com/sdi_catalog/salesItemDetails.do?id=98995")</f>
        <v>https://www.fabsurplus.com/sdi_catalog/salesItemDetails.do?id=98995</v>
      </c>
      <c r="B663" s="8" t="s">
        <v>1641</v>
      </c>
      <c r="C663" s="8" t="s">
        <v>97</v>
      </c>
      <c r="D663" s="8" t="s">
        <v>1639</v>
      </c>
      <c r="E663" s="8" t="s">
        <v>1570</v>
      </c>
      <c r="F663" s="8" t="s">
        <v>16</v>
      </c>
      <c r="G663" s="8" t="s">
        <v>310</v>
      </c>
      <c r="H663" s="8"/>
      <c r="I663" s="9" t="n">
        <v>43647</v>
      </c>
      <c r="J663" s="8" t="s">
        <v>19</v>
      </c>
      <c r="K663" s="8"/>
    </row>
    <row r="664" customFormat="false" ht="12.8" hidden="false" customHeight="false" outlineLevel="0" collapsed="false">
      <c r="A664" s="8" t="str">
        <f aca="false">HYPERLINK("https://www.fabsurplus.com/sdi_catalog/salesItemDetails.do?id=98994")</f>
        <v>https://www.fabsurplus.com/sdi_catalog/salesItemDetails.do?id=98994</v>
      </c>
      <c r="B664" s="8" t="s">
        <v>1642</v>
      </c>
      <c r="C664" s="8" t="s">
        <v>97</v>
      </c>
      <c r="D664" s="8" t="s">
        <v>1639</v>
      </c>
      <c r="E664" s="8" t="s">
        <v>1570</v>
      </c>
      <c r="F664" s="8" t="s">
        <v>16</v>
      </c>
      <c r="G664" s="8" t="s">
        <v>310</v>
      </c>
      <c r="H664" s="8"/>
      <c r="I664" s="9" t="n">
        <v>43647</v>
      </c>
      <c r="J664" s="8" t="s">
        <v>19</v>
      </c>
      <c r="K664" s="8"/>
    </row>
    <row r="665" customFormat="false" ht="12.8" hidden="false" customHeight="false" outlineLevel="0" collapsed="false">
      <c r="A665" s="8" t="str">
        <f aca="false">HYPERLINK("https://www.fabsurplus.com/sdi_catalog/salesItemDetails.do?id=98998")</f>
        <v>https://www.fabsurplus.com/sdi_catalog/salesItemDetails.do?id=98998</v>
      </c>
      <c r="B665" s="8" t="s">
        <v>1643</v>
      </c>
      <c r="C665" s="8" t="s">
        <v>97</v>
      </c>
      <c r="D665" s="8" t="s">
        <v>1644</v>
      </c>
      <c r="E665" s="8" t="s">
        <v>1450</v>
      </c>
      <c r="F665" s="8" t="s">
        <v>16</v>
      </c>
      <c r="G665" s="8" t="s">
        <v>310</v>
      </c>
      <c r="H665" s="8"/>
      <c r="I665" s="9" t="n">
        <v>41061</v>
      </c>
      <c r="J665" s="8" t="s">
        <v>19</v>
      </c>
      <c r="K665" s="8"/>
    </row>
    <row r="666" customFormat="false" ht="12.8" hidden="false" customHeight="false" outlineLevel="0" collapsed="false">
      <c r="A666" s="8" t="str">
        <f aca="false">HYPERLINK("https://www.fabsurplus.com/sdi_catalog/salesItemDetails.do?id=98802")</f>
        <v>https://www.fabsurplus.com/sdi_catalog/salesItemDetails.do?id=98802</v>
      </c>
      <c r="B666" s="8" t="s">
        <v>1645</v>
      </c>
      <c r="C666" s="8" t="s">
        <v>97</v>
      </c>
      <c r="D666" s="8" t="s">
        <v>1644</v>
      </c>
      <c r="E666" s="8" t="s">
        <v>1450</v>
      </c>
      <c r="F666" s="8" t="s">
        <v>16</v>
      </c>
      <c r="G666" s="8" t="s">
        <v>310</v>
      </c>
      <c r="H666" s="8"/>
      <c r="I666" s="9" t="n">
        <v>39479</v>
      </c>
      <c r="J666" s="8" t="s">
        <v>19</v>
      </c>
      <c r="K666" s="8"/>
    </row>
    <row r="667" customFormat="false" ht="12.8" hidden="false" customHeight="false" outlineLevel="0" collapsed="false">
      <c r="A667" s="8" t="str">
        <f aca="false">HYPERLINK("https://www.fabsurplus.com/sdi_catalog/salesItemDetails.do?id=98803")</f>
        <v>https://www.fabsurplus.com/sdi_catalog/salesItemDetails.do?id=98803</v>
      </c>
      <c r="B667" s="8" t="s">
        <v>1646</v>
      </c>
      <c r="C667" s="8" t="s">
        <v>97</v>
      </c>
      <c r="D667" s="8" t="s">
        <v>1647</v>
      </c>
      <c r="E667" s="8" t="s">
        <v>1450</v>
      </c>
      <c r="F667" s="8" t="s">
        <v>16</v>
      </c>
      <c r="G667" s="8" t="s">
        <v>310</v>
      </c>
      <c r="H667" s="8"/>
      <c r="I667" s="9" t="n">
        <v>41640</v>
      </c>
      <c r="J667" s="8" t="s">
        <v>19</v>
      </c>
      <c r="K667" s="8"/>
    </row>
    <row r="668" customFormat="false" ht="12.8" hidden="false" customHeight="false" outlineLevel="0" collapsed="false">
      <c r="A668" s="6" t="str">
        <f aca="false">HYPERLINK("https://www.fabsurplus.com/sdi_catalog/salesItemDetails.do?id=96973")</f>
        <v>https://www.fabsurplus.com/sdi_catalog/salesItemDetails.do?id=96973</v>
      </c>
      <c r="B668" s="6" t="s">
        <v>1648</v>
      </c>
      <c r="C668" s="6" t="s">
        <v>97</v>
      </c>
      <c r="D668" s="6" t="s">
        <v>1649</v>
      </c>
      <c r="E668" s="6" t="s">
        <v>1650</v>
      </c>
      <c r="F668" s="6" t="s">
        <v>16</v>
      </c>
      <c r="G668" s="6" t="s">
        <v>32</v>
      </c>
      <c r="H668" s="6"/>
      <c r="I668" s="7" t="n">
        <v>35947</v>
      </c>
      <c r="J668" s="6" t="s">
        <v>81</v>
      </c>
      <c r="K668" s="6"/>
    </row>
    <row r="669" customFormat="false" ht="12.8" hidden="false" customHeight="false" outlineLevel="0" collapsed="false">
      <c r="A669" s="8" t="str">
        <f aca="false">HYPERLINK("https://www.fabsurplus.com/sdi_catalog/salesItemDetails.do?id=99300")</f>
        <v>https://www.fabsurplus.com/sdi_catalog/salesItemDetails.do?id=99300</v>
      </c>
      <c r="B669" s="8" t="s">
        <v>1651</v>
      </c>
      <c r="C669" s="8" t="s">
        <v>97</v>
      </c>
      <c r="D669" s="8" t="s">
        <v>98</v>
      </c>
      <c r="E669" s="8" t="s">
        <v>1652</v>
      </c>
      <c r="F669" s="8" t="s">
        <v>16</v>
      </c>
      <c r="G669" s="8" t="s">
        <v>372</v>
      </c>
      <c r="H669" s="8" t="s">
        <v>33</v>
      </c>
      <c r="I669" s="9" t="n">
        <v>35217</v>
      </c>
      <c r="J669" s="8" t="s">
        <v>19</v>
      </c>
      <c r="K669" s="8" t="s">
        <v>20</v>
      </c>
    </row>
    <row r="670" customFormat="false" ht="12.8" hidden="false" customHeight="false" outlineLevel="0" collapsed="false">
      <c r="A670" s="6" t="str">
        <f aca="false">HYPERLINK("https://www.fabsurplus.com/sdi_catalog/salesItemDetails.do?id=99296")</f>
        <v>https://www.fabsurplus.com/sdi_catalog/salesItemDetails.do?id=99296</v>
      </c>
      <c r="B670" s="6" t="s">
        <v>1653</v>
      </c>
      <c r="C670" s="6" t="s">
        <v>97</v>
      </c>
      <c r="D670" s="6" t="s">
        <v>98</v>
      </c>
      <c r="E670" s="6" t="s">
        <v>1654</v>
      </c>
      <c r="F670" s="6" t="s">
        <v>16</v>
      </c>
      <c r="G670" s="6" t="s">
        <v>372</v>
      </c>
      <c r="H670" s="6" t="s">
        <v>18</v>
      </c>
      <c r="I670" s="7" t="n">
        <v>34486</v>
      </c>
      <c r="J670" s="6" t="s">
        <v>19</v>
      </c>
      <c r="K670" s="6" t="s">
        <v>20</v>
      </c>
    </row>
    <row r="671" customFormat="false" ht="12.8" hidden="false" customHeight="false" outlineLevel="0" collapsed="false">
      <c r="A671" s="8" t="str">
        <f aca="false">HYPERLINK("https://www.fabsurplus.com/sdi_catalog/salesItemDetails.do?id=99299")</f>
        <v>https://www.fabsurplus.com/sdi_catalog/salesItemDetails.do?id=99299</v>
      </c>
      <c r="B671" s="8" t="s">
        <v>1655</v>
      </c>
      <c r="C671" s="8" t="s">
        <v>97</v>
      </c>
      <c r="D671" s="8" t="s">
        <v>98</v>
      </c>
      <c r="E671" s="8" t="s">
        <v>1656</v>
      </c>
      <c r="F671" s="8" t="s">
        <v>16</v>
      </c>
      <c r="G671" s="8" t="s">
        <v>17</v>
      </c>
      <c r="H671" s="8" t="s">
        <v>33</v>
      </c>
      <c r="I671" s="9" t="n">
        <v>36678</v>
      </c>
      <c r="J671" s="8" t="s">
        <v>19</v>
      </c>
      <c r="K671" s="8" t="s">
        <v>20</v>
      </c>
    </row>
    <row r="672" customFormat="false" ht="12.8" hidden="false" customHeight="false" outlineLevel="0" collapsed="false">
      <c r="A672" s="8" t="str">
        <f aca="false">HYPERLINK("https://www.fabsurplus.com/sdi_catalog/salesItemDetails.do?id=99294")</f>
        <v>https://www.fabsurplus.com/sdi_catalog/salesItemDetails.do?id=99294</v>
      </c>
      <c r="B672" s="8" t="s">
        <v>1657</v>
      </c>
      <c r="C672" s="8" t="s">
        <v>97</v>
      </c>
      <c r="D672" s="8" t="s">
        <v>98</v>
      </c>
      <c r="E672" s="8" t="s">
        <v>1658</v>
      </c>
      <c r="F672" s="8" t="s">
        <v>16</v>
      </c>
      <c r="G672" s="8" t="s">
        <v>372</v>
      </c>
      <c r="H672" s="8" t="s">
        <v>18</v>
      </c>
      <c r="I672" s="9" t="n">
        <v>34851</v>
      </c>
      <c r="J672" s="8" t="s">
        <v>19</v>
      </c>
      <c r="K672" s="8" t="s">
        <v>20</v>
      </c>
    </row>
    <row r="673" customFormat="false" ht="12.8" hidden="false" customHeight="false" outlineLevel="0" collapsed="false">
      <c r="A673" s="6" t="str">
        <f aca="false">HYPERLINK("https://www.fabsurplus.com/sdi_catalog/salesItemDetails.do?id=99297")</f>
        <v>https://www.fabsurplus.com/sdi_catalog/salesItemDetails.do?id=99297</v>
      </c>
      <c r="B673" s="6" t="s">
        <v>1659</v>
      </c>
      <c r="C673" s="6" t="s">
        <v>97</v>
      </c>
      <c r="D673" s="6" t="s">
        <v>98</v>
      </c>
      <c r="E673" s="6" t="s">
        <v>1660</v>
      </c>
      <c r="F673" s="6" t="s">
        <v>16</v>
      </c>
      <c r="G673" s="6" t="s">
        <v>17</v>
      </c>
      <c r="H673" s="6" t="s">
        <v>33</v>
      </c>
      <c r="I673" s="7" t="n">
        <v>35400</v>
      </c>
      <c r="J673" s="6" t="s">
        <v>19</v>
      </c>
      <c r="K673" s="6" t="s">
        <v>20</v>
      </c>
    </row>
    <row r="674" customFormat="false" ht="12.8" hidden="false" customHeight="false" outlineLevel="0" collapsed="false">
      <c r="A674" s="6" t="str">
        <f aca="false">HYPERLINK("https://www.fabsurplus.com/sdi_catalog/salesItemDetails.do?id=99295")</f>
        <v>https://www.fabsurplus.com/sdi_catalog/salesItemDetails.do?id=99295</v>
      </c>
      <c r="B674" s="6" t="s">
        <v>1661</v>
      </c>
      <c r="C674" s="6" t="s">
        <v>97</v>
      </c>
      <c r="D674" s="6" t="s">
        <v>98</v>
      </c>
      <c r="E674" s="6" t="s">
        <v>1662</v>
      </c>
      <c r="F674" s="6" t="s">
        <v>16</v>
      </c>
      <c r="G674" s="6" t="s">
        <v>32</v>
      </c>
      <c r="H674" s="6" t="s">
        <v>18</v>
      </c>
      <c r="I674" s="7" t="n">
        <v>34851</v>
      </c>
      <c r="J674" s="6" t="s">
        <v>19</v>
      </c>
      <c r="K674" s="6" t="s">
        <v>20</v>
      </c>
    </row>
    <row r="675" customFormat="false" ht="12.8" hidden="false" customHeight="false" outlineLevel="0" collapsed="false">
      <c r="A675" s="6" t="str">
        <f aca="false">HYPERLINK("https://www.fabsurplus.com/sdi_catalog/salesItemDetails.do?id=98514")</f>
        <v>https://www.fabsurplus.com/sdi_catalog/salesItemDetails.do?id=98514</v>
      </c>
      <c r="B675" s="6" t="s">
        <v>1663</v>
      </c>
      <c r="C675" s="6" t="s">
        <v>97</v>
      </c>
      <c r="D675" s="6" t="s">
        <v>98</v>
      </c>
      <c r="E675" s="6" t="s">
        <v>399</v>
      </c>
      <c r="F675" s="6" t="s">
        <v>16</v>
      </c>
      <c r="G675" s="6" t="s">
        <v>32</v>
      </c>
      <c r="H675" s="6"/>
      <c r="I675" s="6"/>
      <c r="J675" s="6" t="s">
        <v>19</v>
      </c>
      <c r="K675" s="6"/>
    </row>
    <row r="676" customFormat="false" ht="12.8" hidden="false" customHeight="false" outlineLevel="0" collapsed="false">
      <c r="A676" s="6" t="str">
        <f aca="false">HYPERLINK("https://www.fabsurplus.com/sdi_catalog/salesItemDetails.do?id=98079")</f>
        <v>https://www.fabsurplus.com/sdi_catalog/salesItemDetails.do?id=98079</v>
      </c>
      <c r="B676" s="6" t="s">
        <v>1664</v>
      </c>
      <c r="C676" s="6" t="s">
        <v>97</v>
      </c>
      <c r="D676" s="6" t="s">
        <v>98</v>
      </c>
      <c r="E676" s="6" t="s">
        <v>1665</v>
      </c>
      <c r="F676" s="6" t="s">
        <v>16</v>
      </c>
      <c r="G676" s="6" t="s">
        <v>1666</v>
      </c>
      <c r="H676" s="6"/>
      <c r="I676" s="6"/>
      <c r="J676" s="6" t="s">
        <v>19</v>
      </c>
      <c r="K676" s="6"/>
    </row>
    <row r="677" customFormat="false" ht="12.8" hidden="false" customHeight="false" outlineLevel="0" collapsed="false">
      <c r="A677" s="6" t="str">
        <f aca="false">HYPERLINK("https://www.fabsurplus.com/sdi_catalog/salesItemDetails.do?id=98898")</f>
        <v>https://www.fabsurplus.com/sdi_catalog/salesItemDetails.do?id=98898</v>
      </c>
      <c r="B677" s="6" t="s">
        <v>1667</v>
      </c>
      <c r="C677" s="6" t="s">
        <v>97</v>
      </c>
      <c r="D677" s="6" t="s">
        <v>98</v>
      </c>
      <c r="E677" s="6" t="s">
        <v>1668</v>
      </c>
      <c r="F677" s="6" t="s">
        <v>16</v>
      </c>
      <c r="G677" s="6" t="s">
        <v>32</v>
      </c>
      <c r="H677" s="6"/>
      <c r="I677" s="7" t="n">
        <v>36312</v>
      </c>
      <c r="J677" s="6" t="s">
        <v>19</v>
      </c>
      <c r="K677" s="6"/>
    </row>
    <row r="678" customFormat="false" ht="12.8" hidden="false" customHeight="false" outlineLevel="0" collapsed="false">
      <c r="A678" s="6" t="str">
        <f aca="false">HYPERLINK("https://www.fabsurplus.com/sdi_catalog/salesItemDetails.do?id=98897")</f>
        <v>https://www.fabsurplus.com/sdi_catalog/salesItemDetails.do?id=98897</v>
      </c>
      <c r="B678" s="6" t="s">
        <v>1669</v>
      </c>
      <c r="C678" s="6" t="s">
        <v>97</v>
      </c>
      <c r="D678" s="6" t="s">
        <v>98</v>
      </c>
      <c r="E678" s="6" t="s">
        <v>1668</v>
      </c>
      <c r="F678" s="6" t="s">
        <v>16</v>
      </c>
      <c r="G678" s="6" t="s">
        <v>32</v>
      </c>
      <c r="H678" s="6"/>
      <c r="I678" s="7" t="n">
        <v>34851</v>
      </c>
      <c r="J678" s="6" t="s">
        <v>19</v>
      </c>
      <c r="K678" s="6"/>
    </row>
    <row r="679" customFormat="false" ht="12.8" hidden="false" customHeight="false" outlineLevel="0" collapsed="false">
      <c r="A679" s="6" t="str">
        <f aca="false">HYPERLINK("https://www.fabsurplus.com/sdi_catalog/salesItemDetails.do?id=100694")</f>
        <v>https://www.fabsurplus.com/sdi_catalog/salesItemDetails.do?id=100694</v>
      </c>
      <c r="B679" s="6" t="s">
        <v>1670</v>
      </c>
      <c r="C679" s="6" t="s">
        <v>97</v>
      </c>
      <c r="D679" s="6" t="s">
        <v>98</v>
      </c>
      <c r="E679" s="6" t="s">
        <v>1671</v>
      </c>
      <c r="F679" s="6" t="s">
        <v>16</v>
      </c>
      <c r="G679" s="6" t="s">
        <v>372</v>
      </c>
      <c r="H679" s="6"/>
      <c r="I679" s="7" t="n">
        <v>34851</v>
      </c>
      <c r="J679" s="6" t="s">
        <v>19</v>
      </c>
      <c r="K679" s="6"/>
    </row>
    <row r="680" customFormat="false" ht="12.8" hidden="false" customHeight="false" outlineLevel="0" collapsed="false">
      <c r="A680" s="8" t="str">
        <f aca="false">HYPERLINK("https://www.fabsurplus.com/sdi_catalog/salesItemDetails.do?id=98078")</f>
        <v>https://www.fabsurplus.com/sdi_catalog/salesItemDetails.do?id=98078</v>
      </c>
      <c r="B680" s="8" t="s">
        <v>1672</v>
      </c>
      <c r="C680" s="8" t="s">
        <v>97</v>
      </c>
      <c r="D680" s="8" t="s">
        <v>98</v>
      </c>
      <c r="E680" s="8" t="s">
        <v>1673</v>
      </c>
      <c r="F680" s="8" t="s">
        <v>16</v>
      </c>
      <c r="G680" s="8" t="s">
        <v>372</v>
      </c>
      <c r="H680" s="8"/>
      <c r="I680" s="9" t="n">
        <v>33025</v>
      </c>
      <c r="J680" s="8" t="s">
        <v>19</v>
      </c>
      <c r="K680" s="8"/>
    </row>
    <row r="681" customFormat="false" ht="12.8" hidden="false" customHeight="false" outlineLevel="0" collapsed="false">
      <c r="A681" s="8" t="str">
        <f aca="false">HYPERLINK("https://www.fabsurplus.com/sdi_catalog/salesItemDetails.do?id=99847")</f>
        <v>https://www.fabsurplus.com/sdi_catalog/salesItemDetails.do?id=99847</v>
      </c>
      <c r="B681" s="8" t="s">
        <v>1674</v>
      </c>
      <c r="C681" s="8" t="s">
        <v>97</v>
      </c>
      <c r="D681" s="8" t="s">
        <v>1675</v>
      </c>
      <c r="E681" s="8" t="s">
        <v>1665</v>
      </c>
      <c r="F681" s="8" t="s">
        <v>16</v>
      </c>
      <c r="G681" s="8" t="s">
        <v>32</v>
      </c>
      <c r="H681" s="8"/>
      <c r="I681" s="9" t="n">
        <v>34639</v>
      </c>
      <c r="J681" s="8" t="s">
        <v>81</v>
      </c>
      <c r="K681" s="8"/>
    </row>
    <row r="682" customFormat="false" ht="12.8" hidden="false" customHeight="false" outlineLevel="0" collapsed="false">
      <c r="A682" s="8" t="str">
        <f aca="false">HYPERLINK("https://www.fabsurplus.com/sdi_catalog/salesItemDetails.do?id=98328")</f>
        <v>https://www.fabsurplus.com/sdi_catalog/salesItemDetails.do?id=98328</v>
      </c>
      <c r="B682" s="8" t="s">
        <v>1676</v>
      </c>
      <c r="C682" s="8" t="s">
        <v>97</v>
      </c>
      <c r="D682" s="8" t="s">
        <v>1677</v>
      </c>
      <c r="E682" s="8" t="s">
        <v>1678</v>
      </c>
      <c r="F682" s="8" t="s">
        <v>16</v>
      </c>
      <c r="G682" s="8" t="s">
        <v>372</v>
      </c>
      <c r="H682" s="8"/>
      <c r="I682" s="8"/>
      <c r="J682" s="8" t="s">
        <v>81</v>
      </c>
      <c r="K682" s="8"/>
    </row>
    <row r="683" customFormat="false" ht="12.8" hidden="false" customHeight="false" outlineLevel="0" collapsed="false">
      <c r="A683" s="8" t="str">
        <f aca="false">HYPERLINK("https://www.fabsurplus.com/sdi_catalog/salesItemDetails.do?id=98026")</f>
        <v>https://www.fabsurplus.com/sdi_catalog/salesItemDetails.do?id=98026</v>
      </c>
      <c r="B683" s="8" t="s">
        <v>1679</v>
      </c>
      <c r="C683" s="8" t="s">
        <v>97</v>
      </c>
      <c r="D683" s="8" t="s">
        <v>1680</v>
      </c>
      <c r="E683" s="8" t="s">
        <v>1681</v>
      </c>
      <c r="F683" s="8" t="s">
        <v>16</v>
      </c>
      <c r="G683" s="8" t="s">
        <v>32</v>
      </c>
      <c r="H683" s="8"/>
      <c r="I683" s="9" t="n">
        <v>34851</v>
      </c>
      <c r="J683" s="8" t="s">
        <v>19</v>
      </c>
      <c r="K683" s="8"/>
    </row>
    <row r="684" customFormat="false" ht="12.8" hidden="false" customHeight="false" outlineLevel="0" collapsed="false">
      <c r="A684" s="8" t="str">
        <f aca="false">HYPERLINK("https://www.fabsurplus.com/sdi_catalog/salesItemDetails.do?id=99298")</f>
        <v>https://www.fabsurplus.com/sdi_catalog/salesItemDetails.do?id=99298</v>
      </c>
      <c r="B684" s="8" t="s">
        <v>1682</v>
      </c>
      <c r="C684" s="8" t="s">
        <v>97</v>
      </c>
      <c r="D684" s="8" t="s">
        <v>1683</v>
      </c>
      <c r="E684" s="8" t="s">
        <v>1684</v>
      </c>
      <c r="F684" s="8" t="s">
        <v>16</v>
      </c>
      <c r="G684" s="8" t="s">
        <v>17</v>
      </c>
      <c r="H684" s="8" t="s">
        <v>33</v>
      </c>
      <c r="I684" s="9" t="n">
        <v>35217</v>
      </c>
      <c r="J684" s="8" t="s">
        <v>19</v>
      </c>
      <c r="K684" s="8" t="s">
        <v>20</v>
      </c>
    </row>
    <row r="685" customFormat="false" ht="12.8" hidden="false" customHeight="false" outlineLevel="0" collapsed="false">
      <c r="A685" s="6" t="str">
        <f aca="false">HYPERLINK("https://www.fabsurplus.com/sdi_catalog/salesItemDetails.do?id=99978")</f>
        <v>https://www.fabsurplus.com/sdi_catalog/salesItemDetails.do?id=99978</v>
      </c>
      <c r="B685" s="6" t="s">
        <v>1685</v>
      </c>
      <c r="C685" s="6" t="s">
        <v>97</v>
      </c>
      <c r="D685" s="6" t="s">
        <v>1686</v>
      </c>
      <c r="E685" s="6" t="s">
        <v>1681</v>
      </c>
      <c r="F685" s="6" t="s">
        <v>16</v>
      </c>
      <c r="G685" s="6" t="s">
        <v>697</v>
      </c>
      <c r="H685" s="6"/>
      <c r="I685" s="6"/>
      <c r="J685" s="6" t="s">
        <v>19</v>
      </c>
      <c r="K685" s="6"/>
    </row>
    <row r="686" customFormat="false" ht="12.8" hidden="false" customHeight="false" outlineLevel="0" collapsed="false">
      <c r="A686" s="6" t="str">
        <f aca="false">HYPERLINK("https://www.fabsurplus.com/sdi_catalog/salesItemDetails.do?id=99977")</f>
        <v>https://www.fabsurplus.com/sdi_catalog/salesItemDetails.do?id=99977</v>
      </c>
      <c r="B686" s="6" t="s">
        <v>1687</v>
      </c>
      <c r="C686" s="6" t="s">
        <v>97</v>
      </c>
      <c r="D686" s="6" t="s">
        <v>1686</v>
      </c>
      <c r="E686" s="6" t="s">
        <v>1681</v>
      </c>
      <c r="F686" s="6" t="s">
        <v>16</v>
      </c>
      <c r="G686" s="6" t="s">
        <v>697</v>
      </c>
      <c r="H686" s="6"/>
      <c r="I686" s="7" t="n">
        <v>35217</v>
      </c>
      <c r="J686" s="6" t="s">
        <v>19</v>
      </c>
      <c r="K686" s="6"/>
    </row>
    <row r="687" customFormat="false" ht="12.8" hidden="false" customHeight="false" outlineLevel="0" collapsed="false">
      <c r="A687" s="6" t="str">
        <f aca="false">HYPERLINK("https://www.fabsurplus.com/sdi_catalog/salesItemDetails.do?id=99976")</f>
        <v>https://www.fabsurplus.com/sdi_catalog/salesItemDetails.do?id=99976</v>
      </c>
      <c r="B687" s="6" t="s">
        <v>1688</v>
      </c>
      <c r="C687" s="6" t="s">
        <v>97</v>
      </c>
      <c r="D687" s="6" t="s">
        <v>1686</v>
      </c>
      <c r="E687" s="6" t="s">
        <v>1689</v>
      </c>
      <c r="F687" s="6" t="s">
        <v>16</v>
      </c>
      <c r="G687" s="6" t="s">
        <v>697</v>
      </c>
      <c r="H687" s="6"/>
      <c r="I687" s="7" t="n">
        <v>34851</v>
      </c>
      <c r="J687" s="6" t="s">
        <v>19</v>
      </c>
      <c r="K687" s="6"/>
    </row>
    <row r="688" customFormat="false" ht="12.8" hidden="false" customHeight="false" outlineLevel="0" collapsed="false">
      <c r="A688" s="8" t="str">
        <f aca="false">HYPERLINK("https://www.fabsurplus.com/sdi_catalog/salesItemDetails.do?id=99975")</f>
        <v>https://www.fabsurplus.com/sdi_catalog/salesItemDetails.do?id=99975</v>
      </c>
      <c r="B688" s="8" t="s">
        <v>1690</v>
      </c>
      <c r="C688" s="8" t="s">
        <v>97</v>
      </c>
      <c r="D688" s="8" t="s">
        <v>1686</v>
      </c>
      <c r="E688" s="8" t="s">
        <v>1691</v>
      </c>
      <c r="F688" s="8" t="s">
        <v>16</v>
      </c>
      <c r="G688" s="8" t="s">
        <v>697</v>
      </c>
      <c r="H688" s="8"/>
      <c r="I688" s="9" t="n">
        <v>34851</v>
      </c>
      <c r="J688" s="8" t="s">
        <v>19</v>
      </c>
      <c r="K688" s="8"/>
    </row>
    <row r="689" customFormat="false" ht="12.8" hidden="false" customHeight="false" outlineLevel="0" collapsed="false">
      <c r="A689" s="6" t="str">
        <f aca="false">HYPERLINK("https://www.fabsurplus.com/sdi_catalog/salesItemDetails.do?id=98080")</f>
        <v>https://www.fabsurplus.com/sdi_catalog/salesItemDetails.do?id=98080</v>
      </c>
      <c r="B689" s="6" t="s">
        <v>1692</v>
      </c>
      <c r="C689" s="6" t="s">
        <v>97</v>
      </c>
      <c r="D689" s="6" t="s">
        <v>1693</v>
      </c>
      <c r="E689" s="6" t="s">
        <v>1694</v>
      </c>
      <c r="F689" s="6" t="s">
        <v>16</v>
      </c>
      <c r="G689" s="6" t="s">
        <v>32</v>
      </c>
      <c r="H689" s="6"/>
      <c r="I689" s="7" t="n">
        <v>37408</v>
      </c>
      <c r="J689" s="6" t="s">
        <v>19</v>
      </c>
      <c r="K689" s="6"/>
    </row>
    <row r="690" customFormat="false" ht="12.8" hidden="false" customHeight="false" outlineLevel="0" collapsed="false">
      <c r="A690" s="8" t="str">
        <f aca="false">HYPERLINK("https://www.fabsurplus.com/sdi_catalog/salesItemDetails.do?id=100346")</f>
        <v>https://www.fabsurplus.com/sdi_catalog/salesItemDetails.do?id=100346</v>
      </c>
      <c r="B690" s="8" t="s">
        <v>1695</v>
      </c>
      <c r="C690" s="8" t="s">
        <v>97</v>
      </c>
      <c r="D690" s="8" t="s">
        <v>1696</v>
      </c>
      <c r="E690" s="8" t="s">
        <v>1697</v>
      </c>
      <c r="F690" s="8" t="s">
        <v>16</v>
      </c>
      <c r="G690" s="8" t="s">
        <v>310</v>
      </c>
      <c r="H690" s="8" t="s">
        <v>18</v>
      </c>
      <c r="I690" s="9" t="n">
        <v>39600</v>
      </c>
      <c r="J690" s="8" t="s">
        <v>19</v>
      </c>
      <c r="K690" s="8" t="s">
        <v>20</v>
      </c>
    </row>
    <row r="691" customFormat="false" ht="12.8" hidden="false" customHeight="false" outlineLevel="0" collapsed="false">
      <c r="A691" s="8" t="str">
        <f aca="false">HYPERLINK("https://www.fabsurplus.com/sdi_catalog/salesItemDetails.do?id=97221")</f>
        <v>https://www.fabsurplus.com/sdi_catalog/salesItemDetails.do?id=97221</v>
      </c>
      <c r="B691" s="8" t="s">
        <v>1698</v>
      </c>
      <c r="C691" s="8" t="s">
        <v>97</v>
      </c>
      <c r="D691" s="8" t="s">
        <v>1699</v>
      </c>
      <c r="E691" s="8" t="s">
        <v>1700</v>
      </c>
      <c r="F691" s="8" t="s">
        <v>16</v>
      </c>
      <c r="G691" s="8" t="s">
        <v>310</v>
      </c>
      <c r="H691" s="8"/>
      <c r="I691" s="9" t="n">
        <v>40452</v>
      </c>
      <c r="J691" s="8" t="s">
        <v>19</v>
      </c>
      <c r="K691" s="8"/>
    </row>
    <row r="692" customFormat="false" ht="12.8" hidden="false" customHeight="false" outlineLevel="0" collapsed="false">
      <c r="A692" s="8" t="str">
        <f aca="false">HYPERLINK("https://www.fabsurplus.com/sdi_catalog/salesItemDetails.do?id=97220")</f>
        <v>https://www.fabsurplus.com/sdi_catalog/salesItemDetails.do?id=97220</v>
      </c>
      <c r="B692" s="8" t="s">
        <v>1701</v>
      </c>
      <c r="C692" s="8" t="s">
        <v>97</v>
      </c>
      <c r="D692" s="8" t="s">
        <v>1699</v>
      </c>
      <c r="E692" s="8" t="s">
        <v>1700</v>
      </c>
      <c r="F692" s="8" t="s">
        <v>16</v>
      </c>
      <c r="G692" s="8" t="s">
        <v>310</v>
      </c>
      <c r="H692" s="8" t="s">
        <v>18</v>
      </c>
      <c r="I692" s="9" t="n">
        <v>38991</v>
      </c>
      <c r="J692" s="8" t="s">
        <v>19</v>
      </c>
      <c r="K692" s="8" t="s">
        <v>20</v>
      </c>
    </row>
    <row r="693" customFormat="false" ht="12.8" hidden="false" customHeight="false" outlineLevel="0" collapsed="false">
      <c r="A693" s="8" t="str">
        <f aca="false">HYPERLINK("https://www.fabsurplus.com/sdi_catalog/salesItemDetails.do?id=98329")</f>
        <v>https://www.fabsurplus.com/sdi_catalog/salesItemDetails.do?id=98329</v>
      </c>
      <c r="B693" s="8" t="s">
        <v>1702</v>
      </c>
      <c r="C693" s="8" t="s">
        <v>97</v>
      </c>
      <c r="D693" s="8" t="s">
        <v>1703</v>
      </c>
      <c r="E693" s="8" t="s">
        <v>1704</v>
      </c>
      <c r="F693" s="8" t="s">
        <v>16</v>
      </c>
      <c r="G693" s="8" t="s">
        <v>310</v>
      </c>
      <c r="H693" s="8"/>
      <c r="I693" s="8"/>
      <c r="J693" s="8" t="s">
        <v>81</v>
      </c>
      <c r="K693" s="8"/>
    </row>
    <row r="694" customFormat="false" ht="12.8" hidden="false" customHeight="false" outlineLevel="0" collapsed="false">
      <c r="A694" s="8" t="str">
        <f aca="false">HYPERLINK("https://www.fabsurplus.com/sdi_catalog/salesItemDetails.do?id=100088")</f>
        <v>https://www.fabsurplus.com/sdi_catalog/salesItemDetails.do?id=100088</v>
      </c>
      <c r="B694" s="8" t="s">
        <v>1705</v>
      </c>
      <c r="C694" s="8" t="s">
        <v>97</v>
      </c>
      <c r="D694" s="8" t="s">
        <v>1706</v>
      </c>
      <c r="E694" s="8" t="s">
        <v>1707</v>
      </c>
      <c r="F694" s="8" t="s">
        <v>16</v>
      </c>
      <c r="G694" s="8" t="s">
        <v>686</v>
      </c>
      <c r="H694" s="8"/>
      <c r="I694" s="8"/>
      <c r="J694" s="8" t="s">
        <v>19</v>
      </c>
      <c r="K694" s="8"/>
    </row>
    <row r="695" customFormat="false" ht="12.8" hidden="false" customHeight="false" outlineLevel="0" collapsed="false">
      <c r="A695" s="8" t="str">
        <f aca="false">HYPERLINK("https://www.fabsurplus.com/sdi_catalog/salesItemDetails.do?id=100087")</f>
        <v>https://www.fabsurplus.com/sdi_catalog/salesItemDetails.do?id=100087</v>
      </c>
      <c r="B695" s="8" t="s">
        <v>1708</v>
      </c>
      <c r="C695" s="8" t="s">
        <v>97</v>
      </c>
      <c r="D695" s="8" t="s">
        <v>1706</v>
      </c>
      <c r="E695" s="8" t="s">
        <v>1707</v>
      </c>
      <c r="F695" s="8" t="s">
        <v>16</v>
      </c>
      <c r="G695" s="8" t="s">
        <v>686</v>
      </c>
      <c r="H695" s="8"/>
      <c r="I695" s="8"/>
      <c r="J695" s="8" t="s">
        <v>19</v>
      </c>
      <c r="K695" s="8"/>
    </row>
    <row r="696" customFormat="false" ht="12.8" hidden="false" customHeight="false" outlineLevel="0" collapsed="false">
      <c r="A696" s="6" t="str">
        <f aca="false">HYPERLINK("https://www.fabsurplus.com/sdi_catalog/salesItemDetails.do?id=100086")</f>
        <v>https://www.fabsurplus.com/sdi_catalog/salesItemDetails.do?id=100086</v>
      </c>
      <c r="B696" s="6" t="s">
        <v>1709</v>
      </c>
      <c r="C696" s="6" t="s">
        <v>97</v>
      </c>
      <c r="D696" s="6" t="s">
        <v>1706</v>
      </c>
      <c r="E696" s="6" t="s">
        <v>1707</v>
      </c>
      <c r="F696" s="6" t="s">
        <v>16</v>
      </c>
      <c r="G696" s="6" t="s">
        <v>686</v>
      </c>
      <c r="H696" s="6"/>
      <c r="I696" s="7" t="n">
        <v>42156</v>
      </c>
      <c r="J696" s="6" t="s">
        <v>19</v>
      </c>
      <c r="K696" s="6"/>
    </row>
    <row r="697" customFormat="false" ht="12.8" hidden="false" customHeight="false" outlineLevel="0" collapsed="false">
      <c r="A697" s="6" t="str">
        <f aca="false">HYPERLINK("https://www.fabsurplus.com/sdi_catalog/salesItemDetails.do?id=98081")</f>
        <v>https://www.fabsurplus.com/sdi_catalog/salesItemDetails.do?id=98081</v>
      </c>
      <c r="B697" s="6" t="s">
        <v>1710</v>
      </c>
      <c r="C697" s="6" t="s">
        <v>97</v>
      </c>
      <c r="D697" s="6" t="s">
        <v>1711</v>
      </c>
      <c r="E697" s="6" t="s">
        <v>1712</v>
      </c>
      <c r="F697" s="6" t="s">
        <v>16</v>
      </c>
      <c r="G697" s="6" t="s">
        <v>310</v>
      </c>
      <c r="H697" s="6"/>
      <c r="I697" s="7" t="n">
        <v>42887</v>
      </c>
      <c r="J697" s="6" t="s">
        <v>19</v>
      </c>
      <c r="K697" s="6"/>
    </row>
    <row r="698" customFormat="false" ht="12.8" hidden="false" customHeight="false" outlineLevel="0" collapsed="false">
      <c r="A698" s="8" t="str">
        <f aca="false">HYPERLINK("https://www.fabsurplus.com/sdi_catalog/salesItemDetails.do?id=97561")</f>
        <v>https://www.fabsurplus.com/sdi_catalog/salesItemDetails.do?id=97561</v>
      </c>
      <c r="B698" s="8" t="s">
        <v>1713</v>
      </c>
      <c r="C698" s="8" t="s">
        <v>97</v>
      </c>
      <c r="D698" s="8" t="s">
        <v>1714</v>
      </c>
      <c r="E698" s="8" t="s">
        <v>1707</v>
      </c>
      <c r="F698" s="8" t="s">
        <v>16</v>
      </c>
      <c r="G698" s="8" t="s">
        <v>310</v>
      </c>
      <c r="H698" s="8"/>
      <c r="I698" s="8"/>
      <c r="J698" s="8" t="s">
        <v>19</v>
      </c>
      <c r="K698" s="8"/>
    </row>
    <row r="699" customFormat="false" ht="12.8" hidden="false" customHeight="false" outlineLevel="0" collapsed="false">
      <c r="A699" s="8" t="str">
        <f aca="false">HYPERLINK("https://www.fabsurplus.com/sdi_catalog/salesItemDetails.do?id=97563")</f>
        <v>https://www.fabsurplus.com/sdi_catalog/salesItemDetails.do?id=97563</v>
      </c>
      <c r="B699" s="8" t="s">
        <v>1715</v>
      </c>
      <c r="C699" s="8" t="s">
        <v>97</v>
      </c>
      <c r="D699" s="8" t="s">
        <v>1716</v>
      </c>
      <c r="E699" s="8" t="s">
        <v>1707</v>
      </c>
      <c r="F699" s="8" t="s">
        <v>16</v>
      </c>
      <c r="G699" s="8" t="s">
        <v>310</v>
      </c>
      <c r="H699" s="8"/>
      <c r="I699" s="8"/>
      <c r="J699" s="8" t="s">
        <v>19</v>
      </c>
      <c r="K699" s="8"/>
    </row>
    <row r="700" customFormat="false" ht="12.8" hidden="false" customHeight="false" outlineLevel="0" collapsed="false">
      <c r="A700" s="8" t="str">
        <f aca="false">HYPERLINK("https://www.fabsurplus.com/sdi_catalog/salesItemDetails.do?id=97562")</f>
        <v>https://www.fabsurplus.com/sdi_catalog/salesItemDetails.do?id=97562</v>
      </c>
      <c r="B700" s="8" t="s">
        <v>1717</v>
      </c>
      <c r="C700" s="8" t="s">
        <v>97</v>
      </c>
      <c r="D700" s="8" t="s">
        <v>1716</v>
      </c>
      <c r="E700" s="8" t="s">
        <v>1707</v>
      </c>
      <c r="F700" s="8" t="s">
        <v>16</v>
      </c>
      <c r="G700" s="8" t="s">
        <v>310</v>
      </c>
      <c r="H700" s="8"/>
      <c r="I700" s="8"/>
      <c r="J700" s="8" t="s">
        <v>19</v>
      </c>
      <c r="K700" s="8"/>
    </row>
    <row r="701" customFormat="false" ht="12.8" hidden="false" customHeight="false" outlineLevel="0" collapsed="false">
      <c r="A701" s="8" t="str">
        <f aca="false">HYPERLINK("https://www.fabsurplus.com/sdi_catalog/salesItemDetails.do?id=100089")</f>
        <v>https://www.fabsurplus.com/sdi_catalog/salesItemDetails.do?id=100089</v>
      </c>
      <c r="B701" s="8" t="s">
        <v>1718</v>
      </c>
      <c r="C701" s="8" t="s">
        <v>97</v>
      </c>
      <c r="D701" s="8" t="s">
        <v>1719</v>
      </c>
      <c r="E701" s="8" t="s">
        <v>1707</v>
      </c>
      <c r="F701" s="8" t="s">
        <v>16</v>
      </c>
      <c r="G701" s="8" t="s">
        <v>686</v>
      </c>
      <c r="H701" s="8"/>
      <c r="I701" s="8"/>
      <c r="J701" s="8" t="s">
        <v>19</v>
      </c>
      <c r="K701" s="8"/>
    </row>
    <row r="702" customFormat="false" ht="12.8" hidden="false" customHeight="false" outlineLevel="0" collapsed="false">
      <c r="A702" s="6" t="str">
        <f aca="false">HYPERLINK("https://www.fabsurplus.com/sdi_catalog/salesItemDetails.do?id=99979")</f>
        <v>https://www.fabsurplus.com/sdi_catalog/salesItemDetails.do?id=99979</v>
      </c>
      <c r="B702" s="6" t="s">
        <v>1720</v>
      </c>
      <c r="C702" s="6" t="s">
        <v>97</v>
      </c>
      <c r="D702" s="6" t="s">
        <v>1721</v>
      </c>
      <c r="E702" s="6" t="s">
        <v>1681</v>
      </c>
      <c r="F702" s="6" t="s">
        <v>16</v>
      </c>
      <c r="G702" s="6" t="s">
        <v>697</v>
      </c>
      <c r="H702" s="6"/>
      <c r="I702" s="7" t="n">
        <v>36678</v>
      </c>
      <c r="J702" s="6" t="s">
        <v>19</v>
      </c>
      <c r="K702" s="6"/>
    </row>
    <row r="703" customFormat="false" ht="12.8" hidden="false" customHeight="false" outlineLevel="0" collapsed="false">
      <c r="A703" s="8" t="str">
        <f aca="false">HYPERLINK("https://www.fabsurplus.com/sdi_catalog/salesItemDetails.do?id=98082")</f>
        <v>https://www.fabsurplus.com/sdi_catalog/salesItemDetails.do?id=98082</v>
      </c>
      <c r="B703" s="8" t="s">
        <v>1722</v>
      </c>
      <c r="C703" s="8" t="s">
        <v>97</v>
      </c>
      <c r="D703" s="8" t="s">
        <v>1723</v>
      </c>
      <c r="E703" s="8" t="s">
        <v>1724</v>
      </c>
      <c r="F703" s="8" t="s">
        <v>16</v>
      </c>
      <c r="G703" s="8" t="s">
        <v>310</v>
      </c>
      <c r="H703" s="8"/>
      <c r="I703" s="9" t="n">
        <v>39234</v>
      </c>
      <c r="J703" s="8" t="s">
        <v>19</v>
      </c>
      <c r="K703" s="8"/>
    </row>
    <row r="704" customFormat="false" ht="12.8" hidden="false" customHeight="false" outlineLevel="0" collapsed="false">
      <c r="A704" s="8" t="str">
        <f aca="false">HYPERLINK("https://www.fabsurplus.com/sdi_catalog/salesItemDetails.do?id=99944")</f>
        <v>https://www.fabsurplus.com/sdi_catalog/salesItemDetails.do?id=99944</v>
      </c>
      <c r="B704" s="8" t="s">
        <v>1725</v>
      </c>
      <c r="C704" s="8" t="s">
        <v>97</v>
      </c>
      <c r="D704" s="8" t="s">
        <v>1723</v>
      </c>
      <c r="E704" s="8" t="s">
        <v>1726</v>
      </c>
      <c r="F704" s="8" t="s">
        <v>16</v>
      </c>
      <c r="G704" s="8" t="s">
        <v>310</v>
      </c>
      <c r="H704" s="8"/>
      <c r="I704" s="9" t="n">
        <v>38139</v>
      </c>
      <c r="J704" s="8" t="s">
        <v>19</v>
      </c>
      <c r="K704" s="8"/>
    </row>
    <row r="705" customFormat="false" ht="12.8" hidden="false" customHeight="false" outlineLevel="0" collapsed="false">
      <c r="A705" s="8" t="str">
        <f aca="false">HYPERLINK("https://www.fabsurplus.com/sdi_catalog/salesItemDetails.do?id=97222")</f>
        <v>https://www.fabsurplus.com/sdi_catalog/salesItemDetails.do?id=97222</v>
      </c>
      <c r="B705" s="8" t="s">
        <v>1727</v>
      </c>
      <c r="C705" s="8" t="s">
        <v>97</v>
      </c>
      <c r="D705" s="8" t="s">
        <v>1728</v>
      </c>
      <c r="E705" s="8" t="s">
        <v>1729</v>
      </c>
      <c r="F705" s="8" t="s">
        <v>16</v>
      </c>
      <c r="G705" s="8" t="s">
        <v>310</v>
      </c>
      <c r="H705" s="8"/>
      <c r="I705" s="9" t="n">
        <v>38473</v>
      </c>
      <c r="J705" s="8" t="s">
        <v>19</v>
      </c>
      <c r="K705" s="8"/>
    </row>
    <row r="706" customFormat="false" ht="12.8" hidden="false" customHeight="false" outlineLevel="0" collapsed="false">
      <c r="A706" s="6" t="str">
        <f aca="false">HYPERLINK("https://www.fabsurplus.com/sdi_catalog/salesItemDetails.do?id=100090")</f>
        <v>https://www.fabsurplus.com/sdi_catalog/salesItemDetails.do?id=100090</v>
      </c>
      <c r="B706" s="6" t="s">
        <v>1730</v>
      </c>
      <c r="C706" s="6" t="s">
        <v>97</v>
      </c>
      <c r="D706" s="6" t="s">
        <v>1731</v>
      </c>
      <c r="E706" s="6" t="s">
        <v>1707</v>
      </c>
      <c r="F706" s="6" t="s">
        <v>16</v>
      </c>
      <c r="G706" s="6" t="s">
        <v>686</v>
      </c>
      <c r="H706" s="6"/>
      <c r="I706" s="6"/>
      <c r="J706" s="6" t="s">
        <v>19</v>
      </c>
      <c r="K706" s="6"/>
    </row>
    <row r="707" customFormat="false" ht="12.8" hidden="false" customHeight="false" outlineLevel="0" collapsed="false">
      <c r="A707" s="6" t="str">
        <f aca="false">HYPERLINK("https://www.fabsurplus.com/sdi_catalog/salesItemDetails.do?id=100091")</f>
        <v>https://www.fabsurplus.com/sdi_catalog/salesItemDetails.do?id=100091</v>
      </c>
      <c r="B707" s="6" t="s">
        <v>1732</v>
      </c>
      <c r="C707" s="6" t="s">
        <v>97</v>
      </c>
      <c r="D707" s="6" t="s">
        <v>1733</v>
      </c>
      <c r="E707" s="6" t="s">
        <v>1734</v>
      </c>
      <c r="F707" s="6" t="s">
        <v>16</v>
      </c>
      <c r="G707" s="6" t="s">
        <v>686</v>
      </c>
      <c r="H707" s="6"/>
      <c r="I707" s="6"/>
      <c r="J707" s="6" t="s">
        <v>19</v>
      </c>
      <c r="K707" s="6"/>
    </row>
    <row r="708" customFormat="false" ht="12.8" hidden="false" customHeight="false" outlineLevel="0" collapsed="false">
      <c r="A708" s="8" t="str">
        <f aca="false">HYPERLINK("https://www.fabsurplus.com/sdi_catalog/salesItemDetails.do?id=97567")</f>
        <v>https://www.fabsurplus.com/sdi_catalog/salesItemDetails.do?id=97567</v>
      </c>
      <c r="B708" s="8" t="s">
        <v>1735</v>
      </c>
      <c r="C708" s="8" t="s">
        <v>97</v>
      </c>
      <c r="D708" s="8" t="s">
        <v>1733</v>
      </c>
      <c r="E708" s="8" t="s">
        <v>1734</v>
      </c>
      <c r="F708" s="8" t="s">
        <v>16</v>
      </c>
      <c r="G708" s="8" t="s">
        <v>310</v>
      </c>
      <c r="H708" s="8" t="s">
        <v>33</v>
      </c>
      <c r="I708" s="8"/>
      <c r="J708" s="8" t="s">
        <v>19</v>
      </c>
      <c r="K708" s="8" t="s">
        <v>20</v>
      </c>
    </row>
    <row r="709" customFormat="false" ht="12.8" hidden="false" customHeight="false" outlineLevel="0" collapsed="false">
      <c r="A709" s="6" t="str">
        <f aca="false">HYPERLINK("https://www.fabsurplus.com/sdi_catalog/salesItemDetails.do?id=98999")</f>
        <v>https://www.fabsurplus.com/sdi_catalog/salesItemDetails.do?id=98999</v>
      </c>
      <c r="B709" s="6" t="s">
        <v>1736</v>
      </c>
      <c r="C709" s="6" t="s">
        <v>97</v>
      </c>
      <c r="D709" s="6" t="s">
        <v>1737</v>
      </c>
      <c r="E709" s="6" t="s">
        <v>1681</v>
      </c>
      <c r="F709" s="6" t="s">
        <v>16</v>
      </c>
      <c r="G709" s="6" t="s">
        <v>310</v>
      </c>
      <c r="H709" s="6"/>
      <c r="I709" s="7" t="n">
        <v>39934</v>
      </c>
      <c r="J709" s="6" t="s">
        <v>19</v>
      </c>
      <c r="K709" s="6"/>
    </row>
    <row r="710" customFormat="false" ht="12.8" hidden="false" customHeight="false" outlineLevel="0" collapsed="false">
      <c r="A710" s="6" t="str">
        <f aca="false">HYPERLINK("https://www.fabsurplus.com/sdi_catalog/salesItemDetails.do?id=98825")</f>
        <v>https://www.fabsurplus.com/sdi_catalog/salesItemDetails.do?id=98825</v>
      </c>
      <c r="B710" s="6" t="s">
        <v>1738</v>
      </c>
      <c r="C710" s="6" t="s">
        <v>97</v>
      </c>
      <c r="D710" s="6" t="s">
        <v>1737</v>
      </c>
      <c r="E710" s="6" t="s">
        <v>1681</v>
      </c>
      <c r="F710" s="6" t="s">
        <v>16</v>
      </c>
      <c r="G710" s="6" t="s">
        <v>310</v>
      </c>
      <c r="H710" s="6"/>
      <c r="I710" s="7" t="n">
        <v>41061</v>
      </c>
      <c r="J710" s="6" t="s">
        <v>19</v>
      </c>
      <c r="K710" s="6"/>
    </row>
    <row r="711" customFormat="false" ht="12.8" hidden="false" customHeight="false" outlineLevel="0" collapsed="false">
      <c r="A711" s="8" t="str">
        <f aca="false">HYPERLINK("https://www.fabsurplus.com/sdi_catalog/salesItemDetails.do?id=98795")</f>
        <v>https://www.fabsurplus.com/sdi_catalog/salesItemDetails.do?id=98795</v>
      </c>
      <c r="B711" s="8" t="s">
        <v>1739</v>
      </c>
      <c r="C711" s="8" t="s">
        <v>97</v>
      </c>
      <c r="D711" s="8" t="s">
        <v>1740</v>
      </c>
      <c r="E711" s="8" t="s">
        <v>1681</v>
      </c>
      <c r="F711" s="8" t="s">
        <v>16</v>
      </c>
      <c r="G711" s="8" t="s">
        <v>310</v>
      </c>
      <c r="H711" s="8"/>
      <c r="I711" s="9" t="n">
        <v>39326</v>
      </c>
      <c r="J711" s="8" t="s">
        <v>19</v>
      </c>
      <c r="K711" s="8"/>
    </row>
    <row r="712" customFormat="false" ht="12.8" hidden="false" customHeight="false" outlineLevel="0" collapsed="false">
      <c r="A712" s="8" t="str">
        <f aca="false">HYPERLINK("https://www.fabsurplus.com/sdi_catalog/salesItemDetails.do?id=96826")</f>
        <v>https://www.fabsurplus.com/sdi_catalog/salesItemDetails.do?id=96826</v>
      </c>
      <c r="B712" s="8" t="s">
        <v>1741</v>
      </c>
      <c r="C712" s="8" t="s">
        <v>97</v>
      </c>
      <c r="D712" s="8" t="s">
        <v>1742</v>
      </c>
      <c r="E712" s="8" t="s">
        <v>1743</v>
      </c>
      <c r="F712" s="8" t="s">
        <v>16</v>
      </c>
      <c r="G712" s="8" t="s">
        <v>310</v>
      </c>
      <c r="H712" s="8"/>
      <c r="I712" s="8"/>
      <c r="J712" s="8" t="s">
        <v>19</v>
      </c>
      <c r="K712" s="8"/>
    </row>
    <row r="713" customFormat="false" ht="12.8" hidden="false" customHeight="false" outlineLevel="0" collapsed="false">
      <c r="A713" s="8" t="str">
        <f aca="false">HYPERLINK("https://www.fabsurplus.com/sdi_catalog/salesItemDetails.do?id=98053")</f>
        <v>https://www.fabsurplus.com/sdi_catalog/salesItemDetails.do?id=98053</v>
      </c>
      <c r="B713" s="8" t="s">
        <v>1744</v>
      </c>
      <c r="C713" s="8" t="s">
        <v>97</v>
      </c>
      <c r="D713" s="8" t="s">
        <v>1745</v>
      </c>
      <c r="E713" s="8" t="s">
        <v>1746</v>
      </c>
      <c r="F713" s="8" t="s">
        <v>16</v>
      </c>
      <c r="G713" s="8" t="s">
        <v>310</v>
      </c>
      <c r="H713" s="8"/>
      <c r="I713" s="8"/>
      <c r="J713" s="8" t="s">
        <v>19</v>
      </c>
      <c r="K713" s="8"/>
    </row>
    <row r="714" customFormat="false" ht="12.8" hidden="false" customHeight="false" outlineLevel="0" collapsed="false">
      <c r="A714" s="6" t="str">
        <f aca="false">HYPERLINK("https://www.fabsurplus.com/sdi_catalog/salesItemDetails.do?id=97225")</f>
        <v>https://www.fabsurplus.com/sdi_catalog/salesItemDetails.do?id=97225</v>
      </c>
      <c r="B714" s="6" t="s">
        <v>1747</v>
      </c>
      <c r="C714" s="6" t="s">
        <v>97</v>
      </c>
      <c r="D714" s="6" t="s">
        <v>1748</v>
      </c>
      <c r="E714" s="6" t="s">
        <v>1749</v>
      </c>
      <c r="F714" s="6" t="s">
        <v>16</v>
      </c>
      <c r="G714" s="6" t="s">
        <v>310</v>
      </c>
      <c r="H714" s="6" t="s">
        <v>18</v>
      </c>
      <c r="I714" s="7" t="n">
        <v>38047</v>
      </c>
      <c r="J714" s="6" t="s">
        <v>19</v>
      </c>
      <c r="K714" s="6" t="s">
        <v>20</v>
      </c>
    </row>
    <row r="715" customFormat="false" ht="12.8" hidden="false" customHeight="false" outlineLevel="0" collapsed="false">
      <c r="A715" s="6" t="str">
        <f aca="false">HYPERLINK("https://www.fabsurplus.com/sdi_catalog/salesItemDetails.do?id=97224")</f>
        <v>https://www.fabsurplus.com/sdi_catalog/salesItemDetails.do?id=97224</v>
      </c>
      <c r="B715" s="6" t="s">
        <v>1750</v>
      </c>
      <c r="C715" s="6" t="s">
        <v>97</v>
      </c>
      <c r="D715" s="6" t="s">
        <v>1748</v>
      </c>
      <c r="E715" s="6" t="s">
        <v>1749</v>
      </c>
      <c r="F715" s="6" t="s">
        <v>16</v>
      </c>
      <c r="G715" s="6" t="s">
        <v>310</v>
      </c>
      <c r="H715" s="6"/>
      <c r="I715" s="7" t="n">
        <v>38169</v>
      </c>
      <c r="J715" s="6" t="s">
        <v>19</v>
      </c>
      <c r="K715" s="6"/>
    </row>
    <row r="716" customFormat="false" ht="12.8" hidden="false" customHeight="false" outlineLevel="0" collapsed="false">
      <c r="A716" s="8" t="str">
        <f aca="false">HYPERLINK("https://www.fabsurplus.com/sdi_catalog/salesItemDetails.do?id=100092")</f>
        <v>https://www.fabsurplus.com/sdi_catalog/salesItemDetails.do?id=100092</v>
      </c>
      <c r="B716" s="8" t="s">
        <v>1751</v>
      </c>
      <c r="C716" s="8" t="s">
        <v>97</v>
      </c>
      <c r="D716" s="8" t="s">
        <v>1752</v>
      </c>
      <c r="E716" s="8" t="s">
        <v>1753</v>
      </c>
      <c r="F716" s="8" t="s">
        <v>16</v>
      </c>
      <c r="G716" s="8" t="s">
        <v>686</v>
      </c>
      <c r="H716" s="8"/>
      <c r="I716" s="9" t="n">
        <v>38139</v>
      </c>
      <c r="J716" s="8" t="s">
        <v>19</v>
      </c>
      <c r="K716" s="8"/>
    </row>
    <row r="717" customFormat="false" ht="12.8" hidden="false" customHeight="false" outlineLevel="0" collapsed="false">
      <c r="A717" s="8" t="str">
        <f aca="false">HYPERLINK("https://www.fabsurplus.com/sdi_catalog/salesItemDetails.do?id=99108")</f>
        <v>https://www.fabsurplus.com/sdi_catalog/salesItemDetails.do?id=99108</v>
      </c>
      <c r="B717" s="8" t="s">
        <v>1754</v>
      </c>
      <c r="C717" s="8" t="s">
        <v>97</v>
      </c>
      <c r="D717" s="8" t="s">
        <v>1752</v>
      </c>
      <c r="E717" s="8" t="s">
        <v>1753</v>
      </c>
      <c r="F717" s="8" t="s">
        <v>16</v>
      </c>
      <c r="G717" s="8" t="s">
        <v>686</v>
      </c>
      <c r="H717" s="8"/>
      <c r="I717" s="8"/>
      <c r="J717" s="8" t="s">
        <v>19</v>
      </c>
      <c r="K717" s="8"/>
    </row>
    <row r="718" customFormat="false" ht="12.8" hidden="false" customHeight="false" outlineLevel="0" collapsed="false">
      <c r="A718" s="6" t="str">
        <f aca="false">HYPERLINK("https://www.fabsurplus.com/sdi_catalog/salesItemDetails.do?id=99107")</f>
        <v>https://www.fabsurplus.com/sdi_catalog/salesItemDetails.do?id=99107</v>
      </c>
      <c r="B718" s="6" t="s">
        <v>1755</v>
      </c>
      <c r="C718" s="6" t="s">
        <v>97</v>
      </c>
      <c r="D718" s="6" t="s">
        <v>1752</v>
      </c>
      <c r="E718" s="6" t="s">
        <v>1753</v>
      </c>
      <c r="F718" s="6" t="s">
        <v>16</v>
      </c>
      <c r="G718" s="6" t="s">
        <v>686</v>
      </c>
      <c r="H718" s="6"/>
      <c r="I718" s="6"/>
      <c r="J718" s="6" t="s">
        <v>19</v>
      </c>
      <c r="K718" s="6"/>
    </row>
    <row r="719" customFormat="false" ht="12.8" hidden="false" customHeight="false" outlineLevel="0" collapsed="false">
      <c r="A719" s="8" t="str">
        <f aca="false">HYPERLINK("https://www.fabsurplus.com/sdi_catalog/salesItemDetails.do?id=99104")</f>
        <v>https://www.fabsurplus.com/sdi_catalog/salesItemDetails.do?id=99104</v>
      </c>
      <c r="B719" s="8" t="s">
        <v>1756</v>
      </c>
      <c r="C719" s="8" t="s">
        <v>97</v>
      </c>
      <c r="D719" s="8" t="s">
        <v>1752</v>
      </c>
      <c r="E719" s="8" t="s">
        <v>1753</v>
      </c>
      <c r="F719" s="8" t="s">
        <v>16</v>
      </c>
      <c r="G719" s="8" t="s">
        <v>686</v>
      </c>
      <c r="H719" s="8"/>
      <c r="I719" s="9" t="n">
        <v>37712</v>
      </c>
      <c r="J719" s="8" t="s">
        <v>19</v>
      </c>
      <c r="K719" s="8"/>
    </row>
    <row r="720" customFormat="false" ht="12.8" hidden="false" customHeight="false" outlineLevel="0" collapsed="false">
      <c r="A720" s="6" t="str">
        <f aca="false">HYPERLINK("https://www.fabsurplus.com/sdi_catalog/salesItemDetails.do?id=100093")</f>
        <v>https://www.fabsurplus.com/sdi_catalog/salesItemDetails.do?id=100093</v>
      </c>
      <c r="B720" s="6" t="s">
        <v>1757</v>
      </c>
      <c r="C720" s="6" t="s">
        <v>97</v>
      </c>
      <c r="D720" s="6" t="s">
        <v>1758</v>
      </c>
      <c r="E720" s="6" t="s">
        <v>1759</v>
      </c>
      <c r="F720" s="6" t="s">
        <v>16</v>
      </c>
      <c r="G720" s="6" t="s">
        <v>686</v>
      </c>
      <c r="H720" s="6"/>
      <c r="I720" s="7" t="n">
        <v>38869</v>
      </c>
      <c r="J720" s="6" t="s">
        <v>19</v>
      </c>
      <c r="K720" s="6"/>
    </row>
    <row r="721" customFormat="false" ht="12.8" hidden="false" customHeight="false" outlineLevel="0" collapsed="false">
      <c r="A721" s="6" t="str">
        <f aca="false">HYPERLINK("https://www.fabsurplus.com/sdi_catalog/salesItemDetails.do?id=99116")</f>
        <v>https://www.fabsurplus.com/sdi_catalog/salesItemDetails.do?id=99116</v>
      </c>
      <c r="B721" s="6" t="s">
        <v>1760</v>
      </c>
      <c r="C721" s="6" t="s">
        <v>97</v>
      </c>
      <c r="D721" s="6" t="s">
        <v>1758</v>
      </c>
      <c r="E721" s="6" t="s">
        <v>1759</v>
      </c>
      <c r="F721" s="6" t="s">
        <v>16</v>
      </c>
      <c r="G721" s="6" t="s">
        <v>686</v>
      </c>
      <c r="H721" s="6"/>
      <c r="I721" s="7" t="n">
        <v>38504</v>
      </c>
      <c r="J721" s="6" t="s">
        <v>19</v>
      </c>
      <c r="K721" s="6"/>
    </row>
    <row r="722" customFormat="false" ht="12.8" hidden="false" customHeight="false" outlineLevel="0" collapsed="false">
      <c r="A722" s="6" t="str">
        <f aca="false">HYPERLINK("https://www.fabsurplus.com/sdi_catalog/salesItemDetails.do?id=99115")</f>
        <v>https://www.fabsurplus.com/sdi_catalog/salesItemDetails.do?id=99115</v>
      </c>
      <c r="B722" s="6" t="s">
        <v>1761</v>
      </c>
      <c r="C722" s="6" t="s">
        <v>97</v>
      </c>
      <c r="D722" s="6" t="s">
        <v>1758</v>
      </c>
      <c r="E722" s="6" t="s">
        <v>1759</v>
      </c>
      <c r="F722" s="6" t="s">
        <v>16</v>
      </c>
      <c r="G722" s="6" t="s">
        <v>686</v>
      </c>
      <c r="H722" s="6"/>
      <c r="I722" s="7" t="n">
        <v>37408</v>
      </c>
      <c r="J722" s="6" t="s">
        <v>19</v>
      </c>
      <c r="K722" s="6"/>
    </row>
    <row r="723" customFormat="false" ht="12.8" hidden="false" customHeight="false" outlineLevel="0" collapsed="false">
      <c r="A723" s="8" t="str">
        <f aca="false">HYPERLINK("https://www.fabsurplus.com/sdi_catalog/salesItemDetails.do?id=99113")</f>
        <v>https://www.fabsurplus.com/sdi_catalog/salesItemDetails.do?id=99113</v>
      </c>
      <c r="B723" s="8" t="s">
        <v>1762</v>
      </c>
      <c r="C723" s="8" t="s">
        <v>97</v>
      </c>
      <c r="D723" s="8" t="s">
        <v>1758</v>
      </c>
      <c r="E723" s="8" t="s">
        <v>1759</v>
      </c>
      <c r="F723" s="8" t="s">
        <v>16</v>
      </c>
      <c r="G723" s="8" t="s">
        <v>686</v>
      </c>
      <c r="H723" s="8"/>
      <c r="I723" s="9" t="n">
        <v>38504</v>
      </c>
      <c r="J723" s="8" t="s">
        <v>19</v>
      </c>
      <c r="K723" s="8"/>
    </row>
    <row r="724" customFormat="false" ht="12.8" hidden="false" customHeight="false" outlineLevel="0" collapsed="false">
      <c r="A724" s="8" t="str">
        <f aca="false">HYPERLINK("https://www.fabsurplus.com/sdi_catalog/salesItemDetails.do?id=99112")</f>
        <v>https://www.fabsurplus.com/sdi_catalog/salesItemDetails.do?id=99112</v>
      </c>
      <c r="B724" s="8" t="s">
        <v>1763</v>
      </c>
      <c r="C724" s="8" t="s">
        <v>97</v>
      </c>
      <c r="D724" s="8" t="s">
        <v>1758</v>
      </c>
      <c r="E724" s="8" t="s">
        <v>1759</v>
      </c>
      <c r="F724" s="8" t="s">
        <v>16</v>
      </c>
      <c r="G724" s="8" t="s">
        <v>686</v>
      </c>
      <c r="H724" s="8"/>
      <c r="I724" s="9" t="n">
        <v>38504</v>
      </c>
      <c r="J724" s="8" t="s">
        <v>19</v>
      </c>
      <c r="K724" s="8"/>
    </row>
    <row r="725" customFormat="false" ht="12.8" hidden="false" customHeight="false" outlineLevel="0" collapsed="false">
      <c r="A725" s="8" t="str">
        <f aca="false">HYPERLINK("https://www.fabsurplus.com/sdi_catalog/salesItemDetails.do?id=99111")</f>
        <v>https://www.fabsurplus.com/sdi_catalog/salesItemDetails.do?id=99111</v>
      </c>
      <c r="B725" s="8" t="s">
        <v>1764</v>
      </c>
      <c r="C725" s="8" t="s">
        <v>97</v>
      </c>
      <c r="D725" s="8" t="s">
        <v>1758</v>
      </c>
      <c r="E725" s="8" t="s">
        <v>1759</v>
      </c>
      <c r="F725" s="8" t="s">
        <v>16</v>
      </c>
      <c r="G725" s="8" t="s">
        <v>686</v>
      </c>
      <c r="H725" s="8"/>
      <c r="I725" s="9" t="n">
        <v>38869</v>
      </c>
      <c r="J725" s="8" t="s">
        <v>19</v>
      </c>
      <c r="K725" s="8"/>
    </row>
    <row r="726" customFormat="false" ht="12.8" hidden="false" customHeight="false" outlineLevel="0" collapsed="false">
      <c r="A726" s="6" t="str">
        <f aca="false">HYPERLINK("https://www.fabsurplus.com/sdi_catalog/salesItemDetails.do?id=99110")</f>
        <v>https://www.fabsurplus.com/sdi_catalog/salesItemDetails.do?id=99110</v>
      </c>
      <c r="B726" s="6" t="s">
        <v>1765</v>
      </c>
      <c r="C726" s="6" t="s">
        <v>97</v>
      </c>
      <c r="D726" s="6" t="s">
        <v>1758</v>
      </c>
      <c r="E726" s="6" t="s">
        <v>1759</v>
      </c>
      <c r="F726" s="6" t="s">
        <v>16</v>
      </c>
      <c r="G726" s="6" t="s">
        <v>686</v>
      </c>
      <c r="H726" s="6"/>
      <c r="I726" s="7" t="n">
        <v>37773</v>
      </c>
      <c r="J726" s="6" t="s">
        <v>19</v>
      </c>
      <c r="K726" s="6"/>
    </row>
    <row r="727" customFormat="false" ht="12.8" hidden="false" customHeight="false" outlineLevel="0" collapsed="false">
      <c r="A727" s="8" t="str">
        <f aca="false">HYPERLINK("https://www.fabsurplus.com/sdi_catalog/salesItemDetails.do?id=98083")</f>
        <v>https://www.fabsurplus.com/sdi_catalog/salesItemDetails.do?id=98083</v>
      </c>
      <c r="B727" s="8" t="s">
        <v>1766</v>
      </c>
      <c r="C727" s="8" t="s">
        <v>97</v>
      </c>
      <c r="D727" s="8" t="s">
        <v>1767</v>
      </c>
      <c r="E727" s="8" t="s">
        <v>1650</v>
      </c>
      <c r="F727" s="8" t="s">
        <v>16</v>
      </c>
      <c r="G727" s="8" t="s">
        <v>310</v>
      </c>
      <c r="H727" s="8"/>
      <c r="I727" s="9" t="n">
        <v>38200</v>
      </c>
      <c r="J727" s="8" t="s">
        <v>19</v>
      </c>
      <c r="K727" s="8"/>
    </row>
    <row r="728" customFormat="false" ht="12.8" hidden="false" customHeight="false" outlineLevel="0" collapsed="false">
      <c r="A728" s="6" t="str">
        <f aca="false">HYPERLINK("https://www.fabsurplus.com/sdi_catalog/salesItemDetails.do?id=100763")</f>
        <v>https://www.fabsurplus.com/sdi_catalog/salesItemDetails.do?id=100763</v>
      </c>
      <c r="B728" s="6" t="s">
        <v>1768</v>
      </c>
      <c r="C728" s="6" t="s">
        <v>97</v>
      </c>
      <c r="D728" s="6" t="s">
        <v>1769</v>
      </c>
      <c r="E728" s="6" t="s">
        <v>1770</v>
      </c>
      <c r="F728" s="6" t="s">
        <v>16</v>
      </c>
      <c r="G728" s="6"/>
      <c r="H728" s="6"/>
      <c r="I728" s="6"/>
      <c r="J728" s="6" t="s">
        <v>81</v>
      </c>
      <c r="K728" s="6"/>
    </row>
    <row r="729" customFormat="false" ht="12.8" hidden="false" customHeight="false" outlineLevel="0" collapsed="false">
      <c r="A729" s="8" t="str">
        <f aca="false">HYPERLINK("https://www.fabsurplus.com/sdi_catalog/salesItemDetails.do?id=98054")</f>
        <v>https://www.fabsurplus.com/sdi_catalog/salesItemDetails.do?id=98054</v>
      </c>
      <c r="B729" s="8" t="s">
        <v>1771</v>
      </c>
      <c r="C729" s="8" t="s">
        <v>97</v>
      </c>
      <c r="D729" s="8" t="s">
        <v>1772</v>
      </c>
      <c r="E729" s="8" t="s">
        <v>1773</v>
      </c>
      <c r="F729" s="8" t="s">
        <v>16</v>
      </c>
      <c r="G729" s="8" t="s">
        <v>310</v>
      </c>
      <c r="H729" s="8"/>
      <c r="I729" s="8"/>
      <c r="J729" s="8" t="s">
        <v>19</v>
      </c>
      <c r="K729" s="8"/>
    </row>
    <row r="730" customFormat="false" ht="12.8" hidden="false" customHeight="false" outlineLevel="0" collapsed="false">
      <c r="A730" s="8" t="str">
        <f aca="false">HYPERLINK("https://www.fabsurplus.com/sdi_catalog/salesItemDetails.do?id=99903")</f>
        <v>https://www.fabsurplus.com/sdi_catalog/salesItemDetails.do?id=99903</v>
      </c>
      <c r="B730" s="8" t="s">
        <v>1774</v>
      </c>
      <c r="C730" s="8" t="s">
        <v>97</v>
      </c>
      <c r="D730" s="8" t="s">
        <v>1775</v>
      </c>
      <c r="E730" s="8" t="s">
        <v>1770</v>
      </c>
      <c r="F730" s="8" t="s">
        <v>16</v>
      </c>
      <c r="G730" s="8"/>
      <c r="H730" s="8" t="s">
        <v>18</v>
      </c>
      <c r="I730" s="8"/>
      <c r="J730" s="8" t="s">
        <v>19</v>
      </c>
      <c r="K730" s="8" t="s">
        <v>20</v>
      </c>
    </row>
    <row r="731" customFormat="false" ht="12.8" hidden="false" customHeight="false" outlineLevel="0" collapsed="false">
      <c r="A731" s="6" t="str">
        <f aca="false">HYPERLINK("https://www.fabsurplus.com/sdi_catalog/salesItemDetails.do?id=97226")</f>
        <v>https://www.fabsurplus.com/sdi_catalog/salesItemDetails.do?id=97226</v>
      </c>
      <c r="B731" s="6" t="s">
        <v>1776</v>
      </c>
      <c r="C731" s="6" t="s">
        <v>97</v>
      </c>
      <c r="D731" s="6" t="s">
        <v>1777</v>
      </c>
      <c r="E731" s="6" t="s">
        <v>1773</v>
      </c>
      <c r="F731" s="6" t="s">
        <v>16</v>
      </c>
      <c r="G731" s="6" t="s">
        <v>310</v>
      </c>
      <c r="H731" s="6"/>
      <c r="I731" s="7" t="n">
        <v>40603</v>
      </c>
      <c r="J731" s="6" t="s">
        <v>19</v>
      </c>
      <c r="K731" s="6"/>
    </row>
    <row r="732" customFormat="false" ht="12.8" hidden="false" customHeight="false" outlineLevel="0" collapsed="false">
      <c r="A732" s="8" t="str">
        <f aca="false">HYPERLINK("https://www.fabsurplus.com/sdi_catalog/salesItemDetails.do?id=100094")</f>
        <v>https://www.fabsurplus.com/sdi_catalog/salesItemDetails.do?id=100094</v>
      </c>
      <c r="B732" s="8" t="s">
        <v>1778</v>
      </c>
      <c r="C732" s="8" t="s">
        <v>97</v>
      </c>
      <c r="D732" s="8" t="s">
        <v>1779</v>
      </c>
      <c r="E732" s="8" t="s">
        <v>1780</v>
      </c>
      <c r="F732" s="8" t="s">
        <v>16</v>
      </c>
      <c r="G732" s="8" t="s">
        <v>686</v>
      </c>
      <c r="H732" s="8"/>
      <c r="I732" s="9" t="n">
        <v>39234</v>
      </c>
      <c r="J732" s="8" t="s">
        <v>19</v>
      </c>
      <c r="K732" s="8"/>
    </row>
    <row r="733" customFormat="false" ht="12.8" hidden="false" customHeight="false" outlineLevel="0" collapsed="false">
      <c r="A733" s="8" t="str">
        <f aca="false">HYPERLINK("https://www.fabsurplus.com/sdi_catalog/salesItemDetails.do?id=98263")</f>
        <v>https://www.fabsurplus.com/sdi_catalog/salesItemDetails.do?id=98263</v>
      </c>
      <c r="B733" s="8" t="s">
        <v>1781</v>
      </c>
      <c r="C733" s="8" t="s">
        <v>97</v>
      </c>
      <c r="D733" s="8" t="s">
        <v>1782</v>
      </c>
      <c r="E733" s="8" t="s">
        <v>1783</v>
      </c>
      <c r="F733" s="8" t="s">
        <v>16</v>
      </c>
      <c r="G733" s="8" t="s">
        <v>310</v>
      </c>
      <c r="H733" s="8"/>
      <c r="I733" s="9" t="n">
        <v>38504</v>
      </c>
      <c r="J733" s="8" t="s">
        <v>19</v>
      </c>
      <c r="K733" s="8"/>
    </row>
    <row r="734" customFormat="false" ht="12.8" hidden="false" customHeight="false" outlineLevel="0" collapsed="false">
      <c r="A734" s="8" t="str">
        <f aca="false">HYPERLINK("https://www.fabsurplus.com/sdi_catalog/salesItemDetails.do?id=99000")</f>
        <v>https://www.fabsurplus.com/sdi_catalog/salesItemDetails.do?id=99000</v>
      </c>
      <c r="B734" s="8" t="s">
        <v>1784</v>
      </c>
      <c r="C734" s="8" t="s">
        <v>97</v>
      </c>
      <c r="D734" s="8" t="s">
        <v>1785</v>
      </c>
      <c r="E734" s="8" t="s">
        <v>1786</v>
      </c>
      <c r="F734" s="8" t="s">
        <v>16</v>
      </c>
      <c r="G734" s="8" t="s">
        <v>310</v>
      </c>
      <c r="H734" s="8"/>
      <c r="I734" s="9" t="n">
        <v>40787</v>
      </c>
      <c r="J734" s="8" t="s">
        <v>19</v>
      </c>
      <c r="K734" s="8"/>
    </row>
    <row r="735" customFormat="false" ht="12.8" hidden="false" customHeight="false" outlineLevel="0" collapsed="false">
      <c r="A735" s="8" t="str">
        <f aca="false">HYPERLINK("https://www.fabsurplus.com/sdi_catalog/salesItemDetails.do?id=96833")</f>
        <v>https://www.fabsurplus.com/sdi_catalog/salesItemDetails.do?id=96833</v>
      </c>
      <c r="B735" s="8" t="s">
        <v>1787</v>
      </c>
      <c r="C735" s="8" t="s">
        <v>97</v>
      </c>
      <c r="D735" s="8" t="s">
        <v>1788</v>
      </c>
      <c r="E735" s="8" t="s">
        <v>1786</v>
      </c>
      <c r="F735" s="8" t="s">
        <v>16</v>
      </c>
      <c r="G735" s="8" t="s">
        <v>310</v>
      </c>
      <c r="H735" s="8"/>
      <c r="I735" s="9" t="n">
        <v>40695</v>
      </c>
      <c r="J735" s="8" t="s">
        <v>19</v>
      </c>
      <c r="K735" s="8"/>
    </row>
    <row r="736" customFormat="false" ht="12.8" hidden="false" customHeight="false" outlineLevel="0" collapsed="false">
      <c r="A736" s="6" t="str">
        <f aca="false">HYPERLINK("https://www.fabsurplus.com/sdi_catalog/salesItemDetails.do?id=96832")</f>
        <v>https://www.fabsurplus.com/sdi_catalog/salesItemDetails.do?id=96832</v>
      </c>
      <c r="B736" s="6" t="s">
        <v>1789</v>
      </c>
      <c r="C736" s="6" t="s">
        <v>97</v>
      </c>
      <c r="D736" s="6" t="s">
        <v>1788</v>
      </c>
      <c r="E736" s="6" t="s">
        <v>1786</v>
      </c>
      <c r="F736" s="6" t="s">
        <v>16</v>
      </c>
      <c r="G736" s="6" t="s">
        <v>310</v>
      </c>
      <c r="H736" s="6"/>
      <c r="I736" s="7" t="n">
        <v>41548</v>
      </c>
      <c r="J736" s="6" t="s">
        <v>19</v>
      </c>
      <c r="K736" s="6"/>
    </row>
    <row r="737" customFormat="false" ht="12.8" hidden="false" customHeight="false" outlineLevel="0" collapsed="false">
      <c r="A737" s="6" t="str">
        <f aca="false">HYPERLINK("https://www.fabsurplus.com/sdi_catalog/salesItemDetails.do?id=98085")</f>
        <v>https://www.fabsurplus.com/sdi_catalog/salesItemDetails.do?id=98085</v>
      </c>
      <c r="B737" s="6" t="s">
        <v>1790</v>
      </c>
      <c r="C737" s="6" t="s">
        <v>97</v>
      </c>
      <c r="D737" s="6" t="s">
        <v>1791</v>
      </c>
      <c r="E737" s="6" t="s">
        <v>1792</v>
      </c>
      <c r="F737" s="6" t="s">
        <v>16</v>
      </c>
      <c r="G737" s="6" t="s">
        <v>310</v>
      </c>
      <c r="H737" s="6"/>
      <c r="I737" s="7" t="n">
        <v>41061</v>
      </c>
      <c r="J737" s="6" t="s">
        <v>19</v>
      </c>
      <c r="K737" s="6"/>
    </row>
    <row r="738" customFormat="false" ht="12.8" hidden="false" customHeight="false" outlineLevel="0" collapsed="false">
      <c r="A738" s="6" t="str">
        <f aca="false">HYPERLINK("https://www.fabsurplus.com/sdi_catalog/salesItemDetails.do?id=98084")</f>
        <v>https://www.fabsurplus.com/sdi_catalog/salesItemDetails.do?id=98084</v>
      </c>
      <c r="B738" s="6" t="s">
        <v>1793</v>
      </c>
      <c r="C738" s="6" t="s">
        <v>97</v>
      </c>
      <c r="D738" s="6" t="s">
        <v>1791</v>
      </c>
      <c r="E738" s="6" t="s">
        <v>1792</v>
      </c>
      <c r="F738" s="6" t="s">
        <v>16</v>
      </c>
      <c r="G738" s="6" t="s">
        <v>310</v>
      </c>
      <c r="H738" s="6"/>
      <c r="I738" s="7" t="n">
        <v>40695</v>
      </c>
      <c r="J738" s="6" t="s">
        <v>19</v>
      </c>
      <c r="K738" s="6"/>
    </row>
    <row r="739" customFormat="false" ht="12.8" hidden="false" customHeight="false" outlineLevel="0" collapsed="false">
      <c r="A739" s="6" t="str">
        <f aca="false">HYPERLINK("https://www.fabsurplus.com/sdi_catalog/salesItemDetails.do?id=96831")</f>
        <v>https://www.fabsurplus.com/sdi_catalog/salesItemDetails.do?id=96831</v>
      </c>
      <c r="B739" s="6" t="s">
        <v>1794</v>
      </c>
      <c r="C739" s="6" t="s">
        <v>97</v>
      </c>
      <c r="D739" s="6" t="s">
        <v>1795</v>
      </c>
      <c r="E739" s="6" t="s">
        <v>1786</v>
      </c>
      <c r="F739" s="6" t="s">
        <v>16</v>
      </c>
      <c r="G739" s="6" t="s">
        <v>310</v>
      </c>
      <c r="H739" s="6"/>
      <c r="I739" s="7" t="n">
        <v>39234</v>
      </c>
      <c r="J739" s="6" t="s">
        <v>19</v>
      </c>
      <c r="K739" s="6"/>
    </row>
    <row r="740" customFormat="false" ht="12.8" hidden="false" customHeight="false" outlineLevel="0" collapsed="false">
      <c r="A740" s="6" t="str">
        <f aca="false">HYPERLINK("https://www.fabsurplus.com/sdi_catalog/salesItemDetails.do?id=98264")</f>
        <v>https://www.fabsurplus.com/sdi_catalog/salesItemDetails.do?id=98264</v>
      </c>
      <c r="B740" s="6" t="s">
        <v>1796</v>
      </c>
      <c r="C740" s="6" t="s">
        <v>97</v>
      </c>
      <c r="D740" s="6" t="s">
        <v>1797</v>
      </c>
      <c r="E740" s="6" t="s">
        <v>1798</v>
      </c>
      <c r="F740" s="6" t="s">
        <v>16</v>
      </c>
      <c r="G740" s="6" t="s">
        <v>310</v>
      </c>
      <c r="H740" s="6"/>
      <c r="I740" s="7" t="n">
        <v>37773</v>
      </c>
      <c r="J740" s="6" t="s">
        <v>19</v>
      </c>
      <c r="K740" s="6"/>
    </row>
    <row r="741" customFormat="false" ht="12.8" hidden="false" customHeight="false" outlineLevel="0" collapsed="false">
      <c r="A741" s="6" t="str">
        <f aca="false">HYPERLINK("https://www.fabsurplus.com/sdi_catalog/salesItemDetails.do?id=100095")</f>
        <v>https://www.fabsurplus.com/sdi_catalog/salesItemDetails.do?id=100095</v>
      </c>
      <c r="B741" s="6" t="s">
        <v>1799</v>
      </c>
      <c r="C741" s="6" t="s">
        <v>97</v>
      </c>
      <c r="D741" s="6" t="s">
        <v>1800</v>
      </c>
      <c r="E741" s="6" t="s">
        <v>1801</v>
      </c>
      <c r="F741" s="6" t="s">
        <v>16</v>
      </c>
      <c r="G741" s="6" t="s">
        <v>686</v>
      </c>
      <c r="H741" s="6"/>
      <c r="I741" s="6"/>
      <c r="J741" s="6" t="s">
        <v>19</v>
      </c>
      <c r="K741" s="6"/>
    </row>
    <row r="742" customFormat="false" ht="12.8" hidden="false" customHeight="false" outlineLevel="0" collapsed="false">
      <c r="A742" s="6" t="str">
        <f aca="false">HYPERLINK("https://www.fabsurplus.com/sdi_catalog/salesItemDetails.do?id=97576")</f>
        <v>https://www.fabsurplus.com/sdi_catalog/salesItemDetails.do?id=97576</v>
      </c>
      <c r="B742" s="6" t="s">
        <v>1802</v>
      </c>
      <c r="C742" s="6" t="s">
        <v>97</v>
      </c>
      <c r="D742" s="6" t="s">
        <v>1800</v>
      </c>
      <c r="E742" s="6" t="s">
        <v>1801</v>
      </c>
      <c r="F742" s="6" t="s">
        <v>16</v>
      </c>
      <c r="G742" s="6" t="s">
        <v>310</v>
      </c>
      <c r="H742" s="6"/>
      <c r="I742" s="6"/>
      <c r="J742" s="6" t="s">
        <v>19</v>
      </c>
      <c r="K742" s="6"/>
    </row>
    <row r="743" customFormat="false" ht="12.8" hidden="false" customHeight="false" outlineLevel="0" collapsed="false">
      <c r="A743" s="6" t="str">
        <f aca="false">HYPERLINK("https://www.fabsurplus.com/sdi_catalog/salesItemDetails.do?id=100671")</f>
        <v>https://www.fabsurplus.com/sdi_catalog/salesItemDetails.do?id=100671</v>
      </c>
      <c r="B743" s="6" t="s">
        <v>1803</v>
      </c>
      <c r="C743" s="6" t="s">
        <v>1804</v>
      </c>
      <c r="D743" s="6" t="s">
        <v>1805</v>
      </c>
      <c r="E743" s="6" t="s">
        <v>1806</v>
      </c>
      <c r="F743" s="6" t="s">
        <v>16</v>
      </c>
      <c r="G743" s="6" t="s">
        <v>1807</v>
      </c>
      <c r="H743" s="6"/>
      <c r="I743" s="6"/>
      <c r="J743" s="6" t="s">
        <v>19</v>
      </c>
      <c r="K743" s="6"/>
    </row>
    <row r="744" customFormat="false" ht="12.8" hidden="false" customHeight="false" outlineLevel="0" collapsed="false">
      <c r="A744" s="8" t="str">
        <f aca="false">HYPERLINK("https://www.fabsurplus.com/sdi_catalog/salesItemDetails.do?id=98857")</f>
        <v>https://www.fabsurplus.com/sdi_catalog/salesItemDetails.do?id=98857</v>
      </c>
      <c r="B744" s="8" t="s">
        <v>1808</v>
      </c>
      <c r="C744" s="8" t="s">
        <v>1809</v>
      </c>
      <c r="D744" s="8" t="s">
        <v>1810</v>
      </c>
      <c r="E744" s="8" t="s">
        <v>1811</v>
      </c>
      <c r="F744" s="8" t="s">
        <v>16</v>
      </c>
      <c r="G744" s="8"/>
      <c r="H744" s="8"/>
      <c r="I744" s="9" t="n">
        <v>35947</v>
      </c>
      <c r="J744" s="8" t="s">
        <v>81</v>
      </c>
      <c r="K744" s="8"/>
    </row>
    <row r="745" customFormat="false" ht="12.8" hidden="false" customHeight="false" outlineLevel="0" collapsed="false">
      <c r="A745" s="8" t="str">
        <f aca="false">HYPERLINK("https://www.fabsurplus.com/sdi_catalog/salesItemDetails.do?id=100764")</f>
        <v>https://www.fabsurplus.com/sdi_catalog/salesItemDetails.do?id=100764</v>
      </c>
      <c r="B745" s="8" t="s">
        <v>1812</v>
      </c>
      <c r="C745" s="8" t="s">
        <v>1809</v>
      </c>
      <c r="D745" s="8" t="s">
        <v>1813</v>
      </c>
      <c r="E745" s="8" t="s">
        <v>1814</v>
      </c>
      <c r="F745" s="8" t="s">
        <v>16</v>
      </c>
      <c r="G745" s="8" t="s">
        <v>32</v>
      </c>
      <c r="H745" s="8"/>
      <c r="I745" s="8"/>
      <c r="J745" s="8" t="s">
        <v>81</v>
      </c>
      <c r="K745" s="8"/>
    </row>
    <row r="746" customFormat="false" ht="12.8" hidden="false" customHeight="false" outlineLevel="0" collapsed="false">
      <c r="A746" s="8" t="str">
        <f aca="false">HYPERLINK("https://www.fabsurplus.com/sdi_catalog/salesItemDetails.do?id=100768")</f>
        <v>https://www.fabsurplus.com/sdi_catalog/salesItemDetails.do?id=100768</v>
      </c>
      <c r="B746" s="8" t="s">
        <v>1815</v>
      </c>
      <c r="C746" s="8" t="s">
        <v>1809</v>
      </c>
      <c r="D746" s="8" t="s">
        <v>1816</v>
      </c>
      <c r="E746" s="8" t="s">
        <v>1817</v>
      </c>
      <c r="F746" s="8" t="s">
        <v>16</v>
      </c>
      <c r="G746" s="8" t="s">
        <v>310</v>
      </c>
      <c r="H746" s="8"/>
      <c r="I746" s="9" t="n">
        <v>39234</v>
      </c>
      <c r="J746" s="8" t="s">
        <v>81</v>
      </c>
      <c r="K746" s="8"/>
    </row>
    <row r="747" customFormat="false" ht="12.8" hidden="false" customHeight="false" outlineLevel="0" collapsed="false">
      <c r="A747" s="6" t="str">
        <f aca="false">HYPERLINK("https://www.fabsurplus.com/sdi_catalog/salesItemDetails.do?id=100767")</f>
        <v>https://www.fabsurplus.com/sdi_catalog/salesItemDetails.do?id=100767</v>
      </c>
      <c r="B747" s="6" t="s">
        <v>1818</v>
      </c>
      <c r="C747" s="6" t="s">
        <v>1809</v>
      </c>
      <c r="D747" s="6" t="s">
        <v>1816</v>
      </c>
      <c r="E747" s="6" t="s">
        <v>1819</v>
      </c>
      <c r="F747" s="6" t="s">
        <v>611</v>
      </c>
      <c r="G747" s="6" t="s">
        <v>310</v>
      </c>
      <c r="H747" s="6"/>
      <c r="I747" s="6"/>
      <c r="J747" s="6" t="s">
        <v>81</v>
      </c>
      <c r="K747" s="6"/>
    </row>
    <row r="748" customFormat="false" ht="12.8" hidden="false" customHeight="false" outlineLevel="0" collapsed="false">
      <c r="A748" s="6" t="str">
        <f aca="false">HYPERLINK("https://www.fabsurplus.com/sdi_catalog/salesItemDetails.do?id=100765")</f>
        <v>https://www.fabsurplus.com/sdi_catalog/salesItemDetails.do?id=100765</v>
      </c>
      <c r="B748" s="6" t="s">
        <v>1820</v>
      </c>
      <c r="C748" s="6" t="s">
        <v>1809</v>
      </c>
      <c r="D748" s="6" t="s">
        <v>1816</v>
      </c>
      <c r="E748" s="6" t="s">
        <v>1821</v>
      </c>
      <c r="F748" s="6" t="s">
        <v>16</v>
      </c>
      <c r="G748" s="6" t="s">
        <v>310</v>
      </c>
      <c r="H748" s="6"/>
      <c r="I748" s="6"/>
      <c r="J748" s="6" t="s">
        <v>81</v>
      </c>
      <c r="K748" s="6"/>
    </row>
    <row r="749" customFormat="false" ht="12.8" hidden="false" customHeight="false" outlineLevel="0" collapsed="false">
      <c r="A749" s="6" t="str">
        <f aca="false">HYPERLINK("https://www.fabsurplus.com/sdi_catalog/salesItemDetails.do?id=100771")</f>
        <v>https://www.fabsurplus.com/sdi_catalog/salesItemDetails.do?id=100771</v>
      </c>
      <c r="B749" s="6" t="s">
        <v>1822</v>
      </c>
      <c r="C749" s="6" t="s">
        <v>1809</v>
      </c>
      <c r="D749" s="6" t="s">
        <v>1816</v>
      </c>
      <c r="E749" s="6" t="s">
        <v>1823</v>
      </c>
      <c r="F749" s="6" t="s">
        <v>16</v>
      </c>
      <c r="G749" s="6" t="s">
        <v>310</v>
      </c>
      <c r="H749" s="6"/>
      <c r="I749" s="7" t="n">
        <v>38869</v>
      </c>
      <c r="J749" s="6" t="s">
        <v>81</v>
      </c>
      <c r="K749" s="6"/>
    </row>
    <row r="750" customFormat="false" ht="12.8" hidden="false" customHeight="false" outlineLevel="0" collapsed="false">
      <c r="A750" s="6" t="str">
        <f aca="false">HYPERLINK("https://www.fabsurplus.com/sdi_catalog/salesItemDetails.do?id=97580")</f>
        <v>https://www.fabsurplus.com/sdi_catalog/salesItemDetails.do?id=97580</v>
      </c>
      <c r="B750" s="6" t="s">
        <v>1824</v>
      </c>
      <c r="C750" s="6" t="s">
        <v>1809</v>
      </c>
      <c r="D750" s="6" t="s">
        <v>1816</v>
      </c>
      <c r="E750" s="6" t="s">
        <v>1825</v>
      </c>
      <c r="F750" s="6" t="s">
        <v>16</v>
      </c>
      <c r="G750" s="6" t="s">
        <v>310</v>
      </c>
      <c r="H750" s="6"/>
      <c r="I750" s="6"/>
      <c r="J750" s="6" t="s">
        <v>19</v>
      </c>
      <c r="K750" s="6"/>
    </row>
    <row r="751" customFormat="false" ht="12.8" hidden="false" customHeight="false" outlineLevel="0" collapsed="false">
      <c r="A751" s="6" t="str">
        <f aca="false">HYPERLINK("https://www.fabsurplus.com/sdi_catalog/salesItemDetails.do?id=100769")</f>
        <v>https://www.fabsurplus.com/sdi_catalog/salesItemDetails.do?id=100769</v>
      </c>
      <c r="B751" s="6" t="s">
        <v>1826</v>
      </c>
      <c r="C751" s="6" t="s">
        <v>1809</v>
      </c>
      <c r="D751" s="6" t="s">
        <v>1816</v>
      </c>
      <c r="E751" s="6" t="s">
        <v>1827</v>
      </c>
      <c r="F751" s="6" t="s">
        <v>16</v>
      </c>
      <c r="G751" s="6" t="s">
        <v>310</v>
      </c>
      <c r="H751" s="6"/>
      <c r="I751" s="7" t="n">
        <v>39234</v>
      </c>
      <c r="J751" s="6" t="s">
        <v>81</v>
      </c>
      <c r="K751" s="6"/>
    </row>
    <row r="752" customFormat="false" ht="12.8" hidden="false" customHeight="false" outlineLevel="0" collapsed="false">
      <c r="A752" s="8" t="str">
        <f aca="false">HYPERLINK("https://www.fabsurplus.com/sdi_catalog/salesItemDetails.do?id=100770")</f>
        <v>https://www.fabsurplus.com/sdi_catalog/salesItemDetails.do?id=100770</v>
      </c>
      <c r="B752" s="8" t="s">
        <v>1828</v>
      </c>
      <c r="C752" s="8" t="s">
        <v>1809</v>
      </c>
      <c r="D752" s="8" t="s">
        <v>1816</v>
      </c>
      <c r="E752" s="8" t="s">
        <v>1829</v>
      </c>
      <c r="F752" s="8" t="s">
        <v>16</v>
      </c>
      <c r="G752" s="8" t="s">
        <v>310</v>
      </c>
      <c r="H752" s="8"/>
      <c r="I752" s="8"/>
      <c r="J752" s="8" t="s">
        <v>81</v>
      </c>
      <c r="K752" s="8"/>
    </row>
    <row r="753" customFormat="false" ht="12.8" hidden="false" customHeight="false" outlineLevel="0" collapsed="false">
      <c r="A753" s="8" t="str">
        <f aca="false">HYPERLINK("https://www.fabsurplus.com/sdi_catalog/salesItemDetails.do?id=98086")</f>
        <v>https://www.fabsurplus.com/sdi_catalog/salesItemDetails.do?id=98086</v>
      </c>
      <c r="B753" s="8" t="s">
        <v>1830</v>
      </c>
      <c r="C753" s="8" t="s">
        <v>1809</v>
      </c>
      <c r="D753" s="8" t="s">
        <v>1816</v>
      </c>
      <c r="E753" s="8" t="s">
        <v>1831</v>
      </c>
      <c r="F753" s="8" t="s">
        <v>16</v>
      </c>
      <c r="G753" s="8" t="s">
        <v>310</v>
      </c>
      <c r="H753" s="8"/>
      <c r="I753" s="9" t="n">
        <v>40695</v>
      </c>
      <c r="J753" s="8" t="s">
        <v>19</v>
      </c>
      <c r="K753" s="8"/>
    </row>
    <row r="754" customFormat="false" ht="12.8" hidden="false" customHeight="false" outlineLevel="0" collapsed="false">
      <c r="A754" s="8" t="str">
        <f aca="false">HYPERLINK("https://www.fabsurplus.com/sdi_catalog/salesItemDetails.do?id=100766")</f>
        <v>https://www.fabsurplus.com/sdi_catalog/salesItemDetails.do?id=100766</v>
      </c>
      <c r="B754" s="8" t="s">
        <v>1832</v>
      </c>
      <c r="C754" s="8" t="s">
        <v>1809</v>
      </c>
      <c r="D754" s="8" t="s">
        <v>1816</v>
      </c>
      <c r="E754" s="8" t="s">
        <v>1833</v>
      </c>
      <c r="F754" s="8" t="s">
        <v>745</v>
      </c>
      <c r="G754" s="8" t="s">
        <v>310</v>
      </c>
      <c r="H754" s="8"/>
      <c r="I754" s="8"/>
      <c r="J754" s="8" t="s">
        <v>81</v>
      </c>
      <c r="K754" s="8"/>
    </row>
    <row r="755" customFormat="false" ht="12.8" hidden="false" customHeight="false" outlineLevel="0" collapsed="false">
      <c r="A755" s="6" t="str">
        <f aca="false">HYPERLINK("https://www.fabsurplus.com/sdi_catalog/salesItemDetails.do?id=100096")</f>
        <v>https://www.fabsurplus.com/sdi_catalog/salesItemDetails.do?id=100096</v>
      </c>
      <c r="B755" s="6" t="s">
        <v>1834</v>
      </c>
      <c r="C755" s="6" t="s">
        <v>1809</v>
      </c>
      <c r="D755" s="6" t="s">
        <v>1835</v>
      </c>
      <c r="E755" s="6" t="s">
        <v>1836</v>
      </c>
      <c r="F755" s="6" t="s">
        <v>16</v>
      </c>
      <c r="G755" s="6" t="s">
        <v>686</v>
      </c>
      <c r="H755" s="6"/>
      <c r="I755" s="7" t="n">
        <v>39234</v>
      </c>
      <c r="J755" s="6" t="s">
        <v>19</v>
      </c>
      <c r="K755" s="6"/>
    </row>
    <row r="756" customFormat="false" ht="12.8" hidden="false" customHeight="false" outlineLevel="0" collapsed="false">
      <c r="A756" s="6" t="str">
        <f aca="false">HYPERLINK("https://www.fabsurplus.com/sdi_catalog/salesItemDetails.do?id=97101")</f>
        <v>https://www.fabsurplus.com/sdi_catalog/salesItemDetails.do?id=97101</v>
      </c>
      <c r="B756" s="6" t="s">
        <v>1837</v>
      </c>
      <c r="C756" s="6" t="s">
        <v>1809</v>
      </c>
      <c r="D756" s="6" t="s">
        <v>1838</v>
      </c>
      <c r="E756" s="6" t="s">
        <v>1839</v>
      </c>
      <c r="F756" s="6" t="s">
        <v>16</v>
      </c>
      <c r="G756" s="6"/>
      <c r="H756" s="6"/>
      <c r="I756" s="7" t="n">
        <v>40695</v>
      </c>
      <c r="J756" s="6" t="s">
        <v>19</v>
      </c>
      <c r="K756" s="6"/>
    </row>
    <row r="757" customFormat="false" ht="12.8" hidden="false" customHeight="false" outlineLevel="0" collapsed="false">
      <c r="A757" s="8" t="str">
        <f aca="false">HYPERLINK("https://www.fabsurplus.com/sdi_catalog/salesItemDetails.do?id=100626")</f>
        <v>https://www.fabsurplus.com/sdi_catalog/salesItemDetails.do?id=100626</v>
      </c>
      <c r="B757" s="8" t="s">
        <v>1840</v>
      </c>
      <c r="C757" s="8" t="s">
        <v>1809</v>
      </c>
      <c r="D757" s="8" t="s">
        <v>1841</v>
      </c>
      <c r="E757" s="8" t="s">
        <v>1842</v>
      </c>
      <c r="F757" s="8" t="s">
        <v>16</v>
      </c>
      <c r="G757" s="8" t="s">
        <v>328</v>
      </c>
      <c r="H757" s="8"/>
      <c r="I757" s="8"/>
      <c r="J757" s="8" t="s">
        <v>19</v>
      </c>
      <c r="K757" s="8"/>
    </row>
    <row r="758" customFormat="false" ht="12.8" hidden="false" customHeight="false" outlineLevel="0" collapsed="false">
      <c r="A758" s="6" t="str">
        <f aca="false">HYPERLINK("https://www.fabsurplus.com/sdi_catalog/salesItemDetails.do?id=100627")</f>
        <v>https://www.fabsurplus.com/sdi_catalog/salesItemDetails.do?id=100627</v>
      </c>
      <c r="B758" s="6" t="s">
        <v>1843</v>
      </c>
      <c r="C758" s="6" t="s">
        <v>1809</v>
      </c>
      <c r="D758" s="6" t="s">
        <v>1844</v>
      </c>
      <c r="E758" s="6" t="s">
        <v>1842</v>
      </c>
      <c r="F758" s="6" t="s">
        <v>611</v>
      </c>
      <c r="G758" s="6" t="s">
        <v>328</v>
      </c>
      <c r="H758" s="6"/>
      <c r="I758" s="6"/>
      <c r="J758" s="6" t="s">
        <v>19</v>
      </c>
      <c r="K758" s="6"/>
    </row>
    <row r="759" customFormat="false" ht="12.8" hidden="false" customHeight="false" outlineLevel="0" collapsed="false">
      <c r="A759" s="8" t="str">
        <f aca="false">HYPERLINK("https://www.fabsurplus.com/sdi_catalog/salesItemDetails.do?id=100628")</f>
        <v>https://www.fabsurplus.com/sdi_catalog/salesItemDetails.do?id=100628</v>
      </c>
      <c r="B759" s="8" t="s">
        <v>1845</v>
      </c>
      <c r="C759" s="8" t="s">
        <v>1809</v>
      </c>
      <c r="D759" s="8" t="s">
        <v>1846</v>
      </c>
      <c r="E759" s="8" t="s">
        <v>1842</v>
      </c>
      <c r="F759" s="8" t="s">
        <v>211</v>
      </c>
      <c r="G759" s="8" t="s">
        <v>328</v>
      </c>
      <c r="H759" s="8"/>
      <c r="I759" s="8"/>
      <c r="J759" s="8" t="s">
        <v>19</v>
      </c>
      <c r="K759" s="8"/>
    </row>
    <row r="760" customFormat="false" ht="12.8" hidden="false" customHeight="false" outlineLevel="0" collapsed="false">
      <c r="A760" s="8" t="str">
        <f aca="false">HYPERLINK("https://www.fabsurplus.com/sdi_catalog/salesItemDetails.do?id=99550")</f>
        <v>https://www.fabsurplus.com/sdi_catalog/salesItemDetails.do?id=99550</v>
      </c>
      <c r="B760" s="8" t="s">
        <v>1847</v>
      </c>
      <c r="C760" s="8" t="s">
        <v>1809</v>
      </c>
      <c r="D760" s="8" t="s">
        <v>1848</v>
      </c>
      <c r="E760" s="8" t="s">
        <v>1842</v>
      </c>
      <c r="F760" s="8" t="s">
        <v>16</v>
      </c>
      <c r="G760" s="8"/>
      <c r="H760" s="8" t="s">
        <v>18</v>
      </c>
      <c r="I760" s="9" t="n">
        <v>40238</v>
      </c>
      <c r="J760" s="8" t="s">
        <v>81</v>
      </c>
      <c r="K760" s="8" t="s">
        <v>20</v>
      </c>
    </row>
    <row r="761" customFormat="false" ht="12.8" hidden="false" customHeight="false" outlineLevel="0" collapsed="false">
      <c r="A761" s="6" t="str">
        <f aca="false">HYPERLINK("https://www.fabsurplus.com/sdi_catalog/salesItemDetails.do?id=97904")</f>
        <v>https://www.fabsurplus.com/sdi_catalog/salesItemDetails.do?id=97904</v>
      </c>
      <c r="B761" s="6" t="s">
        <v>1849</v>
      </c>
      <c r="C761" s="6" t="s">
        <v>1809</v>
      </c>
      <c r="D761" s="6" t="s">
        <v>1848</v>
      </c>
      <c r="E761" s="6" t="s">
        <v>1850</v>
      </c>
      <c r="F761" s="6" t="s">
        <v>16</v>
      </c>
      <c r="G761" s="6" t="s">
        <v>1851</v>
      </c>
      <c r="H761" s="6"/>
      <c r="I761" s="6"/>
      <c r="J761" s="6" t="s">
        <v>81</v>
      </c>
      <c r="K761" s="6"/>
    </row>
    <row r="762" customFormat="false" ht="12.8" hidden="false" customHeight="false" outlineLevel="0" collapsed="false">
      <c r="A762" s="8" t="str">
        <f aca="false">HYPERLINK("https://www.fabsurplus.com/sdi_catalog/salesItemDetails.do?id=97905")</f>
        <v>https://www.fabsurplus.com/sdi_catalog/salesItemDetails.do?id=97905</v>
      </c>
      <c r="B762" s="8" t="s">
        <v>1852</v>
      </c>
      <c r="C762" s="8" t="s">
        <v>1809</v>
      </c>
      <c r="D762" s="8" t="s">
        <v>1853</v>
      </c>
      <c r="E762" s="8" t="s">
        <v>1850</v>
      </c>
      <c r="F762" s="8" t="s">
        <v>16</v>
      </c>
      <c r="G762" s="8" t="s">
        <v>1851</v>
      </c>
      <c r="H762" s="8" t="s">
        <v>18</v>
      </c>
      <c r="I762" s="9" t="n">
        <v>40330</v>
      </c>
      <c r="J762" s="8" t="s">
        <v>81</v>
      </c>
      <c r="K762" s="8"/>
    </row>
    <row r="763" customFormat="false" ht="12.8" hidden="false" customHeight="false" outlineLevel="0" collapsed="false">
      <c r="A763" s="6" t="str">
        <f aca="false">HYPERLINK("https://www.fabsurplus.com/sdi_catalog/salesItemDetails.do?id=100845")</f>
        <v>https://www.fabsurplus.com/sdi_catalog/salesItemDetails.do?id=100845</v>
      </c>
      <c r="B763" s="6" t="s">
        <v>1854</v>
      </c>
      <c r="C763" s="6" t="s">
        <v>1809</v>
      </c>
      <c r="D763" s="6" t="s">
        <v>1855</v>
      </c>
      <c r="E763" s="6" t="s">
        <v>1856</v>
      </c>
      <c r="F763" s="6" t="s">
        <v>16</v>
      </c>
      <c r="G763" s="6" t="s">
        <v>328</v>
      </c>
      <c r="H763" s="6"/>
      <c r="I763" s="7" t="n">
        <v>42156</v>
      </c>
      <c r="J763" s="6" t="s">
        <v>19</v>
      </c>
      <c r="K763" s="6"/>
    </row>
    <row r="764" customFormat="false" ht="12.8" hidden="false" customHeight="false" outlineLevel="0" collapsed="false">
      <c r="A764" s="8" t="str">
        <f aca="false">HYPERLINK("https://www.fabsurplus.com/sdi_catalog/salesItemDetails.do?id=100844")</f>
        <v>https://www.fabsurplus.com/sdi_catalog/salesItemDetails.do?id=100844</v>
      </c>
      <c r="B764" s="8" t="s">
        <v>1857</v>
      </c>
      <c r="C764" s="8" t="s">
        <v>1809</v>
      </c>
      <c r="D764" s="8" t="s">
        <v>1855</v>
      </c>
      <c r="E764" s="8" t="s">
        <v>1856</v>
      </c>
      <c r="F764" s="8" t="s">
        <v>16</v>
      </c>
      <c r="G764" s="8" t="s">
        <v>328</v>
      </c>
      <c r="H764" s="8"/>
      <c r="I764" s="9" t="n">
        <v>42156</v>
      </c>
      <c r="J764" s="8" t="s">
        <v>19</v>
      </c>
      <c r="K764" s="8"/>
    </row>
    <row r="765" customFormat="false" ht="12.8" hidden="false" customHeight="false" outlineLevel="0" collapsed="false">
      <c r="A765" s="6" t="str">
        <f aca="false">HYPERLINK("https://www.fabsurplus.com/sdi_catalog/salesItemDetails.do?id=100843")</f>
        <v>https://www.fabsurplus.com/sdi_catalog/salesItemDetails.do?id=100843</v>
      </c>
      <c r="B765" s="6" t="s">
        <v>1858</v>
      </c>
      <c r="C765" s="6" t="s">
        <v>1809</v>
      </c>
      <c r="D765" s="6" t="s">
        <v>1855</v>
      </c>
      <c r="E765" s="6" t="s">
        <v>1856</v>
      </c>
      <c r="F765" s="6" t="s">
        <v>16</v>
      </c>
      <c r="G765" s="6" t="s">
        <v>328</v>
      </c>
      <c r="H765" s="6"/>
      <c r="I765" s="7" t="n">
        <v>42156</v>
      </c>
      <c r="J765" s="6" t="s">
        <v>19</v>
      </c>
      <c r="K765" s="6"/>
    </row>
    <row r="766" customFormat="false" ht="12.8" hidden="false" customHeight="false" outlineLevel="0" collapsed="false">
      <c r="A766" s="8" t="str">
        <f aca="false">HYPERLINK("https://www.fabsurplus.com/sdi_catalog/salesItemDetails.do?id=97102")</f>
        <v>https://www.fabsurplus.com/sdi_catalog/salesItemDetails.do?id=97102</v>
      </c>
      <c r="B766" s="8" t="s">
        <v>1859</v>
      </c>
      <c r="C766" s="8" t="s">
        <v>1809</v>
      </c>
      <c r="D766" s="8" t="s">
        <v>1860</v>
      </c>
      <c r="E766" s="8" t="s">
        <v>1861</v>
      </c>
      <c r="F766" s="8" t="s">
        <v>16</v>
      </c>
      <c r="G766" s="8"/>
      <c r="H766" s="8"/>
      <c r="I766" s="9" t="n">
        <v>39965</v>
      </c>
      <c r="J766" s="8" t="s">
        <v>19</v>
      </c>
      <c r="K766" s="8"/>
    </row>
    <row r="767" customFormat="false" ht="12.8" hidden="false" customHeight="false" outlineLevel="0" collapsed="false">
      <c r="A767" s="6" t="str">
        <f aca="false">HYPERLINK("https://www.fabsurplus.com/sdi_catalog/salesItemDetails.do?id=100847")</f>
        <v>https://www.fabsurplus.com/sdi_catalog/salesItemDetails.do?id=100847</v>
      </c>
      <c r="B767" s="6" t="s">
        <v>1862</v>
      </c>
      <c r="C767" s="6" t="s">
        <v>1809</v>
      </c>
      <c r="D767" s="6" t="s">
        <v>1863</v>
      </c>
      <c r="E767" s="6" t="s">
        <v>1864</v>
      </c>
      <c r="F767" s="6" t="s">
        <v>16</v>
      </c>
      <c r="G767" s="6" t="s">
        <v>328</v>
      </c>
      <c r="H767" s="6"/>
      <c r="I767" s="7" t="n">
        <v>42887</v>
      </c>
      <c r="J767" s="6" t="s">
        <v>19</v>
      </c>
      <c r="K767" s="6"/>
    </row>
    <row r="768" customFormat="false" ht="12.8" hidden="false" customHeight="false" outlineLevel="0" collapsed="false">
      <c r="A768" s="8" t="str">
        <f aca="false">HYPERLINK("https://www.fabsurplus.com/sdi_catalog/salesItemDetails.do?id=100846")</f>
        <v>https://www.fabsurplus.com/sdi_catalog/salesItemDetails.do?id=100846</v>
      </c>
      <c r="B768" s="8" t="s">
        <v>1865</v>
      </c>
      <c r="C768" s="8" t="s">
        <v>1809</v>
      </c>
      <c r="D768" s="8" t="s">
        <v>1863</v>
      </c>
      <c r="E768" s="8" t="s">
        <v>1864</v>
      </c>
      <c r="F768" s="8" t="s">
        <v>16</v>
      </c>
      <c r="G768" s="8" t="s">
        <v>328</v>
      </c>
      <c r="H768" s="8"/>
      <c r="I768" s="9" t="n">
        <v>42156</v>
      </c>
      <c r="J768" s="8" t="s">
        <v>19</v>
      </c>
      <c r="K768" s="8"/>
    </row>
    <row r="769" customFormat="false" ht="12.8" hidden="false" customHeight="false" outlineLevel="0" collapsed="false">
      <c r="A769" s="6" t="str">
        <f aca="false">HYPERLINK("https://www.fabsurplus.com/sdi_catalog/salesItemDetails.do?id=97585")</f>
        <v>https://www.fabsurplus.com/sdi_catalog/salesItemDetails.do?id=97585</v>
      </c>
      <c r="B769" s="6" t="s">
        <v>1866</v>
      </c>
      <c r="C769" s="6" t="s">
        <v>1809</v>
      </c>
      <c r="D769" s="6" t="s">
        <v>1867</v>
      </c>
      <c r="E769" s="6" t="s">
        <v>1707</v>
      </c>
      <c r="F769" s="6" t="s">
        <v>16</v>
      </c>
      <c r="G769" s="6" t="s">
        <v>310</v>
      </c>
      <c r="H769" s="6"/>
      <c r="I769" s="6"/>
      <c r="J769" s="6" t="s">
        <v>19</v>
      </c>
      <c r="K769" s="6"/>
    </row>
    <row r="770" customFormat="false" ht="12.8" hidden="false" customHeight="false" outlineLevel="0" collapsed="false">
      <c r="A770" s="8" t="str">
        <f aca="false">HYPERLINK("https://www.fabsurplus.com/sdi_catalog/salesItemDetails.do?id=97583")</f>
        <v>https://www.fabsurplus.com/sdi_catalog/salesItemDetails.do?id=97583</v>
      </c>
      <c r="B770" s="8" t="s">
        <v>1868</v>
      </c>
      <c r="C770" s="8" t="s">
        <v>1809</v>
      </c>
      <c r="D770" s="8" t="s">
        <v>1867</v>
      </c>
      <c r="E770" s="8" t="s">
        <v>1707</v>
      </c>
      <c r="F770" s="8" t="s">
        <v>16</v>
      </c>
      <c r="G770" s="8" t="s">
        <v>310</v>
      </c>
      <c r="H770" s="8"/>
      <c r="I770" s="9" t="n">
        <v>39234</v>
      </c>
      <c r="J770" s="8" t="s">
        <v>19</v>
      </c>
      <c r="K770" s="8"/>
    </row>
    <row r="771" customFormat="false" ht="12.8" hidden="false" customHeight="false" outlineLevel="0" collapsed="false">
      <c r="A771" s="6" t="str">
        <f aca="false">HYPERLINK("https://www.fabsurplus.com/sdi_catalog/salesItemDetails.do?id=97582")</f>
        <v>https://www.fabsurplus.com/sdi_catalog/salesItemDetails.do?id=97582</v>
      </c>
      <c r="B771" s="6" t="s">
        <v>1869</v>
      </c>
      <c r="C771" s="6" t="s">
        <v>1809</v>
      </c>
      <c r="D771" s="6" t="s">
        <v>1867</v>
      </c>
      <c r="E771" s="6" t="s">
        <v>1707</v>
      </c>
      <c r="F771" s="6" t="s">
        <v>16</v>
      </c>
      <c r="G771" s="6" t="s">
        <v>310</v>
      </c>
      <c r="H771" s="6"/>
      <c r="I771" s="7" t="n">
        <v>39295</v>
      </c>
      <c r="J771" s="6" t="s">
        <v>19</v>
      </c>
      <c r="K771" s="6"/>
    </row>
    <row r="772" customFormat="false" ht="12.8" hidden="false" customHeight="false" outlineLevel="0" collapsed="false">
      <c r="A772" s="8" t="str">
        <f aca="false">HYPERLINK("https://www.fabsurplus.com/sdi_catalog/salesItemDetails.do?id=97581")</f>
        <v>https://www.fabsurplus.com/sdi_catalog/salesItemDetails.do?id=97581</v>
      </c>
      <c r="B772" s="8" t="s">
        <v>1870</v>
      </c>
      <c r="C772" s="8" t="s">
        <v>1809</v>
      </c>
      <c r="D772" s="8" t="s">
        <v>1867</v>
      </c>
      <c r="E772" s="8" t="s">
        <v>1707</v>
      </c>
      <c r="F772" s="8" t="s">
        <v>16</v>
      </c>
      <c r="G772" s="8" t="s">
        <v>310</v>
      </c>
      <c r="H772" s="8"/>
      <c r="I772" s="9" t="n">
        <v>39753</v>
      </c>
      <c r="J772" s="8" t="s">
        <v>19</v>
      </c>
      <c r="K772" s="8"/>
    </row>
    <row r="773" customFormat="false" ht="12.8" hidden="false" customHeight="false" outlineLevel="0" collapsed="false">
      <c r="A773" s="6" t="str">
        <f aca="false">HYPERLINK("https://www.fabsurplus.com/sdi_catalog/salesItemDetails.do?id=96836")</f>
        <v>https://www.fabsurplus.com/sdi_catalog/salesItemDetails.do?id=96836</v>
      </c>
      <c r="B773" s="6" t="s">
        <v>1871</v>
      </c>
      <c r="C773" s="6" t="s">
        <v>1809</v>
      </c>
      <c r="D773" s="6" t="s">
        <v>1872</v>
      </c>
      <c r="E773" s="6" t="s">
        <v>1873</v>
      </c>
      <c r="F773" s="6" t="s">
        <v>16</v>
      </c>
      <c r="G773" s="6" t="s">
        <v>310</v>
      </c>
      <c r="H773" s="6" t="s">
        <v>33</v>
      </c>
      <c r="I773" s="7" t="n">
        <v>41061</v>
      </c>
      <c r="J773" s="6" t="s">
        <v>19</v>
      </c>
      <c r="K773" s="6" t="s">
        <v>20</v>
      </c>
    </row>
    <row r="774" customFormat="false" ht="12.8" hidden="false" customHeight="false" outlineLevel="0" collapsed="false">
      <c r="A774" s="6" t="str">
        <f aca="false">HYPERLINK("https://www.fabsurplus.com/sdi_catalog/salesItemDetails.do?id=98089")</f>
        <v>https://www.fabsurplus.com/sdi_catalog/salesItemDetails.do?id=98089</v>
      </c>
      <c r="B774" s="6" t="s">
        <v>1874</v>
      </c>
      <c r="C774" s="6" t="s">
        <v>1809</v>
      </c>
      <c r="D774" s="6" t="s">
        <v>1875</v>
      </c>
      <c r="E774" s="6" t="s">
        <v>1681</v>
      </c>
      <c r="F774" s="6" t="s">
        <v>16</v>
      </c>
      <c r="G774" s="6" t="s">
        <v>310</v>
      </c>
      <c r="H774" s="6"/>
      <c r="I774" s="7" t="n">
        <v>38504</v>
      </c>
      <c r="J774" s="6" t="s">
        <v>19</v>
      </c>
      <c r="K774" s="6"/>
    </row>
    <row r="775" customFormat="false" ht="12.8" hidden="false" customHeight="false" outlineLevel="0" collapsed="false">
      <c r="A775" s="8" t="str">
        <f aca="false">HYPERLINK("https://www.fabsurplus.com/sdi_catalog/salesItemDetails.do?id=98088")</f>
        <v>https://www.fabsurplus.com/sdi_catalog/salesItemDetails.do?id=98088</v>
      </c>
      <c r="B775" s="8" t="s">
        <v>1876</v>
      </c>
      <c r="C775" s="8" t="s">
        <v>1809</v>
      </c>
      <c r="D775" s="8" t="s">
        <v>1877</v>
      </c>
      <c r="E775" s="8" t="s">
        <v>1707</v>
      </c>
      <c r="F775" s="8" t="s">
        <v>16</v>
      </c>
      <c r="G775" s="8" t="s">
        <v>310</v>
      </c>
      <c r="H775" s="8"/>
      <c r="I775" s="8"/>
      <c r="J775" s="8" t="s">
        <v>19</v>
      </c>
      <c r="K775" s="8"/>
    </row>
    <row r="776" customFormat="false" ht="12.8" hidden="false" customHeight="false" outlineLevel="0" collapsed="false">
      <c r="A776" s="6" t="str">
        <f aca="false">HYPERLINK("https://www.fabsurplus.com/sdi_catalog/salesItemDetails.do?id=98087")</f>
        <v>https://www.fabsurplus.com/sdi_catalog/salesItemDetails.do?id=98087</v>
      </c>
      <c r="B776" s="6" t="s">
        <v>1878</v>
      </c>
      <c r="C776" s="6" t="s">
        <v>1809</v>
      </c>
      <c r="D776" s="6" t="s">
        <v>1877</v>
      </c>
      <c r="E776" s="6" t="s">
        <v>1707</v>
      </c>
      <c r="F776" s="6" t="s">
        <v>16</v>
      </c>
      <c r="G776" s="6" t="s">
        <v>310</v>
      </c>
      <c r="H776" s="6"/>
      <c r="I776" s="6"/>
      <c r="J776" s="6" t="s">
        <v>19</v>
      </c>
      <c r="K776" s="6"/>
    </row>
    <row r="777" customFormat="false" ht="12.8" hidden="false" customHeight="false" outlineLevel="0" collapsed="false">
      <c r="A777" s="6" t="str">
        <f aca="false">HYPERLINK("https://www.fabsurplus.com/sdi_catalog/salesItemDetails.do?id=100772")</f>
        <v>https://www.fabsurplus.com/sdi_catalog/salesItemDetails.do?id=100772</v>
      </c>
      <c r="B777" s="6" t="s">
        <v>1879</v>
      </c>
      <c r="C777" s="6" t="s">
        <v>1809</v>
      </c>
      <c r="D777" s="6" t="s">
        <v>1880</v>
      </c>
      <c r="E777" s="6" t="s">
        <v>1707</v>
      </c>
      <c r="F777" s="6" t="s">
        <v>16</v>
      </c>
      <c r="G777" s="6" t="s">
        <v>310</v>
      </c>
      <c r="H777" s="6"/>
      <c r="I777" s="6"/>
      <c r="J777" s="6" t="s">
        <v>81</v>
      </c>
      <c r="K777" s="6"/>
    </row>
    <row r="778" customFormat="false" ht="12.8" hidden="false" customHeight="false" outlineLevel="0" collapsed="false">
      <c r="A778" s="6" t="str">
        <f aca="false">HYPERLINK("https://www.fabsurplus.com/sdi_catalog/salesItemDetails.do?id=100098")</f>
        <v>https://www.fabsurplus.com/sdi_catalog/salesItemDetails.do?id=100098</v>
      </c>
      <c r="B778" s="6" t="s">
        <v>1881</v>
      </c>
      <c r="C778" s="6" t="s">
        <v>1809</v>
      </c>
      <c r="D778" s="6" t="s">
        <v>1880</v>
      </c>
      <c r="E778" s="6" t="s">
        <v>1707</v>
      </c>
      <c r="F778" s="6" t="s">
        <v>16</v>
      </c>
      <c r="G778" s="6" t="s">
        <v>686</v>
      </c>
      <c r="H778" s="6"/>
      <c r="I778" s="7" t="n">
        <v>38473</v>
      </c>
      <c r="J778" s="6" t="s">
        <v>19</v>
      </c>
      <c r="K778" s="6"/>
    </row>
    <row r="779" customFormat="false" ht="12.8" hidden="false" customHeight="false" outlineLevel="0" collapsed="false">
      <c r="A779" s="8" t="str">
        <f aca="false">HYPERLINK("https://www.fabsurplus.com/sdi_catalog/salesItemDetails.do?id=100097")</f>
        <v>https://www.fabsurplus.com/sdi_catalog/salesItemDetails.do?id=100097</v>
      </c>
      <c r="B779" s="8" t="s">
        <v>1882</v>
      </c>
      <c r="C779" s="8" t="s">
        <v>1809</v>
      </c>
      <c r="D779" s="8" t="s">
        <v>1880</v>
      </c>
      <c r="E779" s="8" t="s">
        <v>1707</v>
      </c>
      <c r="F779" s="8" t="s">
        <v>16</v>
      </c>
      <c r="G779" s="8" t="s">
        <v>686</v>
      </c>
      <c r="H779" s="8"/>
      <c r="I779" s="8"/>
      <c r="J779" s="8" t="s">
        <v>19</v>
      </c>
      <c r="K779" s="8"/>
    </row>
    <row r="780" customFormat="false" ht="12.8" hidden="false" customHeight="false" outlineLevel="0" collapsed="false">
      <c r="A780" s="8" t="str">
        <f aca="false">HYPERLINK("https://www.fabsurplus.com/sdi_catalog/salesItemDetails.do?id=97604")</f>
        <v>https://www.fabsurplus.com/sdi_catalog/salesItemDetails.do?id=97604</v>
      </c>
      <c r="B780" s="8" t="s">
        <v>1883</v>
      </c>
      <c r="C780" s="8" t="s">
        <v>1809</v>
      </c>
      <c r="D780" s="8" t="s">
        <v>1880</v>
      </c>
      <c r="E780" s="8" t="s">
        <v>1707</v>
      </c>
      <c r="F780" s="8" t="s">
        <v>16</v>
      </c>
      <c r="G780" s="8" t="s">
        <v>310</v>
      </c>
      <c r="H780" s="8"/>
      <c r="I780" s="8"/>
      <c r="J780" s="8" t="s">
        <v>19</v>
      </c>
      <c r="K780" s="8"/>
    </row>
    <row r="781" customFormat="false" ht="12.8" hidden="false" customHeight="false" outlineLevel="0" collapsed="false">
      <c r="A781" s="8" t="str">
        <f aca="false">HYPERLINK("https://www.fabsurplus.com/sdi_catalog/salesItemDetails.do?id=97603")</f>
        <v>https://www.fabsurplus.com/sdi_catalog/salesItemDetails.do?id=97603</v>
      </c>
      <c r="B781" s="8" t="s">
        <v>1884</v>
      </c>
      <c r="C781" s="8" t="s">
        <v>1809</v>
      </c>
      <c r="D781" s="8" t="s">
        <v>1880</v>
      </c>
      <c r="E781" s="8" t="s">
        <v>1707</v>
      </c>
      <c r="F781" s="8" t="s">
        <v>16</v>
      </c>
      <c r="G781" s="8" t="s">
        <v>310</v>
      </c>
      <c r="H781" s="8"/>
      <c r="I781" s="8"/>
      <c r="J781" s="8" t="s">
        <v>19</v>
      </c>
      <c r="K781" s="8"/>
    </row>
    <row r="782" customFormat="false" ht="12.8" hidden="false" customHeight="false" outlineLevel="0" collapsed="false">
      <c r="A782" s="6" t="str">
        <f aca="false">HYPERLINK("https://www.fabsurplus.com/sdi_catalog/salesItemDetails.do?id=97602")</f>
        <v>https://www.fabsurplus.com/sdi_catalog/salesItemDetails.do?id=97602</v>
      </c>
      <c r="B782" s="6" t="s">
        <v>1885</v>
      </c>
      <c r="C782" s="6" t="s">
        <v>1809</v>
      </c>
      <c r="D782" s="6" t="s">
        <v>1880</v>
      </c>
      <c r="E782" s="6" t="s">
        <v>1707</v>
      </c>
      <c r="F782" s="6" t="s">
        <v>16</v>
      </c>
      <c r="G782" s="6" t="s">
        <v>310</v>
      </c>
      <c r="H782" s="6"/>
      <c r="I782" s="6"/>
      <c r="J782" s="6" t="s">
        <v>19</v>
      </c>
      <c r="K782" s="6"/>
    </row>
    <row r="783" customFormat="false" ht="12.8" hidden="false" customHeight="false" outlineLevel="0" collapsed="false">
      <c r="A783" s="8" t="str">
        <f aca="false">HYPERLINK("https://www.fabsurplus.com/sdi_catalog/salesItemDetails.do?id=97601")</f>
        <v>https://www.fabsurplus.com/sdi_catalog/salesItemDetails.do?id=97601</v>
      </c>
      <c r="B783" s="8" t="s">
        <v>1886</v>
      </c>
      <c r="C783" s="8" t="s">
        <v>1809</v>
      </c>
      <c r="D783" s="8" t="s">
        <v>1880</v>
      </c>
      <c r="E783" s="8" t="s">
        <v>1707</v>
      </c>
      <c r="F783" s="8" t="s">
        <v>16</v>
      </c>
      <c r="G783" s="8" t="s">
        <v>310</v>
      </c>
      <c r="H783" s="8"/>
      <c r="I783" s="8"/>
      <c r="J783" s="8" t="s">
        <v>19</v>
      </c>
      <c r="K783" s="8"/>
    </row>
    <row r="784" customFormat="false" ht="12.8" hidden="false" customHeight="false" outlineLevel="0" collapsed="false">
      <c r="A784" s="6" t="str">
        <f aca="false">HYPERLINK("https://www.fabsurplus.com/sdi_catalog/salesItemDetails.do?id=97600")</f>
        <v>https://www.fabsurplus.com/sdi_catalog/salesItemDetails.do?id=97600</v>
      </c>
      <c r="B784" s="6" t="s">
        <v>1887</v>
      </c>
      <c r="C784" s="6" t="s">
        <v>1809</v>
      </c>
      <c r="D784" s="6" t="s">
        <v>1880</v>
      </c>
      <c r="E784" s="6" t="s">
        <v>1707</v>
      </c>
      <c r="F784" s="6" t="s">
        <v>16</v>
      </c>
      <c r="G784" s="6" t="s">
        <v>310</v>
      </c>
      <c r="H784" s="6"/>
      <c r="I784" s="6"/>
      <c r="J784" s="6" t="s">
        <v>19</v>
      </c>
      <c r="K784" s="6"/>
    </row>
    <row r="785" customFormat="false" ht="12.8" hidden="false" customHeight="false" outlineLevel="0" collapsed="false">
      <c r="A785" s="8" t="str">
        <f aca="false">HYPERLINK("https://www.fabsurplus.com/sdi_catalog/salesItemDetails.do?id=97599")</f>
        <v>https://www.fabsurplus.com/sdi_catalog/salesItemDetails.do?id=97599</v>
      </c>
      <c r="B785" s="8" t="s">
        <v>1888</v>
      </c>
      <c r="C785" s="8" t="s">
        <v>1809</v>
      </c>
      <c r="D785" s="8" t="s">
        <v>1880</v>
      </c>
      <c r="E785" s="8" t="s">
        <v>1707</v>
      </c>
      <c r="F785" s="8" t="s">
        <v>16</v>
      </c>
      <c r="G785" s="8" t="s">
        <v>310</v>
      </c>
      <c r="H785" s="8"/>
      <c r="I785" s="8"/>
      <c r="J785" s="8" t="s">
        <v>19</v>
      </c>
      <c r="K785" s="8"/>
    </row>
    <row r="786" customFormat="false" ht="12.8" hidden="false" customHeight="false" outlineLevel="0" collapsed="false">
      <c r="A786" s="6" t="str">
        <f aca="false">HYPERLINK("https://www.fabsurplus.com/sdi_catalog/salesItemDetails.do?id=97598")</f>
        <v>https://www.fabsurplus.com/sdi_catalog/salesItemDetails.do?id=97598</v>
      </c>
      <c r="B786" s="6" t="s">
        <v>1889</v>
      </c>
      <c r="C786" s="6" t="s">
        <v>1809</v>
      </c>
      <c r="D786" s="6" t="s">
        <v>1880</v>
      </c>
      <c r="E786" s="6" t="s">
        <v>1707</v>
      </c>
      <c r="F786" s="6" t="s">
        <v>16</v>
      </c>
      <c r="G786" s="6" t="s">
        <v>310</v>
      </c>
      <c r="H786" s="6"/>
      <c r="I786" s="6"/>
      <c r="J786" s="6" t="s">
        <v>19</v>
      </c>
      <c r="K786" s="6"/>
    </row>
    <row r="787" customFormat="false" ht="12.8" hidden="false" customHeight="false" outlineLevel="0" collapsed="false">
      <c r="A787" s="8" t="str">
        <f aca="false">HYPERLINK("https://www.fabsurplus.com/sdi_catalog/salesItemDetails.do?id=97594")</f>
        <v>https://www.fabsurplus.com/sdi_catalog/salesItemDetails.do?id=97594</v>
      </c>
      <c r="B787" s="8" t="s">
        <v>1890</v>
      </c>
      <c r="C787" s="8" t="s">
        <v>1809</v>
      </c>
      <c r="D787" s="8" t="s">
        <v>1880</v>
      </c>
      <c r="E787" s="8" t="s">
        <v>1707</v>
      </c>
      <c r="F787" s="8" t="s">
        <v>16</v>
      </c>
      <c r="G787" s="8" t="s">
        <v>310</v>
      </c>
      <c r="H787" s="8"/>
      <c r="I787" s="8"/>
      <c r="J787" s="8" t="s">
        <v>19</v>
      </c>
      <c r="K787" s="8"/>
    </row>
    <row r="788" customFormat="false" ht="12.8" hidden="false" customHeight="false" outlineLevel="0" collapsed="false">
      <c r="A788" s="6" t="str">
        <f aca="false">HYPERLINK("https://www.fabsurplus.com/sdi_catalog/salesItemDetails.do?id=97593")</f>
        <v>https://www.fabsurplus.com/sdi_catalog/salesItemDetails.do?id=97593</v>
      </c>
      <c r="B788" s="6" t="s">
        <v>1891</v>
      </c>
      <c r="C788" s="6" t="s">
        <v>1809</v>
      </c>
      <c r="D788" s="6" t="s">
        <v>1880</v>
      </c>
      <c r="E788" s="6" t="s">
        <v>1707</v>
      </c>
      <c r="F788" s="6" t="s">
        <v>16</v>
      </c>
      <c r="G788" s="6" t="s">
        <v>310</v>
      </c>
      <c r="H788" s="6"/>
      <c r="I788" s="6"/>
      <c r="J788" s="6" t="s">
        <v>19</v>
      </c>
      <c r="K788" s="6"/>
    </row>
    <row r="789" customFormat="false" ht="12.8" hidden="false" customHeight="false" outlineLevel="0" collapsed="false">
      <c r="A789" s="8" t="str">
        <f aca="false">HYPERLINK("https://www.fabsurplus.com/sdi_catalog/salesItemDetails.do?id=97592")</f>
        <v>https://www.fabsurplus.com/sdi_catalog/salesItemDetails.do?id=97592</v>
      </c>
      <c r="B789" s="8" t="s">
        <v>1892</v>
      </c>
      <c r="C789" s="8" t="s">
        <v>1809</v>
      </c>
      <c r="D789" s="8" t="s">
        <v>1880</v>
      </c>
      <c r="E789" s="8" t="s">
        <v>1707</v>
      </c>
      <c r="F789" s="8" t="s">
        <v>16</v>
      </c>
      <c r="G789" s="8" t="s">
        <v>310</v>
      </c>
      <c r="H789" s="8"/>
      <c r="I789" s="9" t="n">
        <v>38473</v>
      </c>
      <c r="J789" s="8" t="s">
        <v>19</v>
      </c>
      <c r="K789" s="8"/>
    </row>
    <row r="790" customFormat="false" ht="12.8" hidden="false" customHeight="false" outlineLevel="0" collapsed="false">
      <c r="A790" s="6" t="str">
        <f aca="false">HYPERLINK("https://www.fabsurplus.com/sdi_catalog/salesItemDetails.do?id=97591")</f>
        <v>https://www.fabsurplus.com/sdi_catalog/salesItemDetails.do?id=97591</v>
      </c>
      <c r="B790" s="6" t="s">
        <v>1893</v>
      </c>
      <c r="C790" s="6" t="s">
        <v>1809</v>
      </c>
      <c r="D790" s="6" t="s">
        <v>1880</v>
      </c>
      <c r="E790" s="6" t="s">
        <v>1707</v>
      </c>
      <c r="F790" s="6" t="s">
        <v>16</v>
      </c>
      <c r="G790" s="6" t="s">
        <v>310</v>
      </c>
      <c r="H790" s="6"/>
      <c r="I790" s="7" t="n">
        <v>38565</v>
      </c>
      <c r="J790" s="6" t="s">
        <v>19</v>
      </c>
      <c r="K790" s="6"/>
    </row>
    <row r="791" customFormat="false" ht="12.8" hidden="false" customHeight="false" outlineLevel="0" collapsed="false">
      <c r="A791" s="8" t="str">
        <f aca="false">HYPERLINK("https://www.fabsurplus.com/sdi_catalog/salesItemDetails.do?id=97590")</f>
        <v>https://www.fabsurplus.com/sdi_catalog/salesItemDetails.do?id=97590</v>
      </c>
      <c r="B791" s="8" t="s">
        <v>1894</v>
      </c>
      <c r="C791" s="8" t="s">
        <v>1809</v>
      </c>
      <c r="D791" s="8" t="s">
        <v>1880</v>
      </c>
      <c r="E791" s="8" t="s">
        <v>1707</v>
      </c>
      <c r="F791" s="8" t="s">
        <v>16</v>
      </c>
      <c r="G791" s="8" t="s">
        <v>310</v>
      </c>
      <c r="H791" s="8"/>
      <c r="I791" s="9" t="n">
        <v>38596</v>
      </c>
      <c r="J791" s="8" t="s">
        <v>19</v>
      </c>
      <c r="K791" s="8"/>
    </row>
    <row r="792" customFormat="false" ht="12.8" hidden="false" customHeight="false" outlineLevel="0" collapsed="false">
      <c r="A792" s="6" t="str">
        <f aca="false">HYPERLINK("https://www.fabsurplus.com/sdi_catalog/salesItemDetails.do?id=97589")</f>
        <v>https://www.fabsurplus.com/sdi_catalog/salesItemDetails.do?id=97589</v>
      </c>
      <c r="B792" s="6" t="s">
        <v>1895</v>
      </c>
      <c r="C792" s="6" t="s">
        <v>1809</v>
      </c>
      <c r="D792" s="6" t="s">
        <v>1880</v>
      </c>
      <c r="E792" s="6" t="s">
        <v>1707</v>
      </c>
      <c r="F792" s="6" t="s">
        <v>16</v>
      </c>
      <c r="G792" s="6" t="s">
        <v>310</v>
      </c>
      <c r="H792" s="6"/>
      <c r="I792" s="7" t="n">
        <v>41548</v>
      </c>
      <c r="J792" s="6" t="s">
        <v>19</v>
      </c>
      <c r="K792" s="6"/>
    </row>
    <row r="793" customFormat="false" ht="12.8" hidden="false" customHeight="false" outlineLevel="0" collapsed="false">
      <c r="A793" s="6" t="str">
        <f aca="false">HYPERLINK("https://www.fabsurplus.com/sdi_catalog/salesItemDetails.do?id=97588")</f>
        <v>https://www.fabsurplus.com/sdi_catalog/salesItemDetails.do?id=97588</v>
      </c>
      <c r="B793" s="6" t="s">
        <v>1896</v>
      </c>
      <c r="C793" s="6" t="s">
        <v>1809</v>
      </c>
      <c r="D793" s="6" t="s">
        <v>1880</v>
      </c>
      <c r="E793" s="6" t="s">
        <v>1707</v>
      </c>
      <c r="F793" s="6" t="s">
        <v>16</v>
      </c>
      <c r="G793" s="6" t="s">
        <v>310</v>
      </c>
      <c r="H793" s="6"/>
      <c r="I793" s="7" t="n">
        <v>41548</v>
      </c>
      <c r="J793" s="6" t="s">
        <v>19</v>
      </c>
      <c r="K793" s="6"/>
    </row>
    <row r="794" customFormat="false" ht="12.8" hidden="false" customHeight="false" outlineLevel="0" collapsed="false">
      <c r="A794" s="8" t="str">
        <f aca="false">HYPERLINK("https://www.fabsurplus.com/sdi_catalog/salesItemDetails.do?id=97587")</f>
        <v>https://www.fabsurplus.com/sdi_catalog/salesItemDetails.do?id=97587</v>
      </c>
      <c r="B794" s="8" t="s">
        <v>1897</v>
      </c>
      <c r="C794" s="8" t="s">
        <v>1809</v>
      </c>
      <c r="D794" s="8" t="s">
        <v>1880</v>
      </c>
      <c r="E794" s="8" t="s">
        <v>1707</v>
      </c>
      <c r="F794" s="8" t="s">
        <v>16</v>
      </c>
      <c r="G794" s="8" t="s">
        <v>310</v>
      </c>
      <c r="H794" s="8"/>
      <c r="I794" s="9" t="n">
        <v>37773</v>
      </c>
      <c r="J794" s="8" t="s">
        <v>19</v>
      </c>
      <c r="K794" s="8"/>
    </row>
    <row r="795" customFormat="false" ht="12.8" hidden="false" customHeight="false" outlineLevel="0" collapsed="false">
      <c r="A795" s="8" t="str">
        <f aca="false">HYPERLINK("https://www.fabsurplus.com/sdi_catalog/salesItemDetails.do?id=97586")</f>
        <v>https://www.fabsurplus.com/sdi_catalog/salesItemDetails.do?id=97586</v>
      </c>
      <c r="B795" s="8" t="s">
        <v>1898</v>
      </c>
      <c r="C795" s="8" t="s">
        <v>1809</v>
      </c>
      <c r="D795" s="8" t="s">
        <v>1880</v>
      </c>
      <c r="E795" s="8" t="s">
        <v>1707</v>
      </c>
      <c r="F795" s="8" t="s">
        <v>16</v>
      </c>
      <c r="G795" s="8" t="s">
        <v>310</v>
      </c>
      <c r="H795" s="8"/>
      <c r="I795" s="9" t="n">
        <v>37408</v>
      </c>
      <c r="J795" s="8" t="s">
        <v>19</v>
      </c>
      <c r="K795" s="8"/>
    </row>
    <row r="796" customFormat="false" ht="12.8" hidden="false" customHeight="false" outlineLevel="0" collapsed="false">
      <c r="A796" s="8" t="str">
        <f aca="false">HYPERLINK("https://www.fabsurplus.com/sdi_catalog/salesItemDetails.do?id=99302")</f>
        <v>https://www.fabsurplus.com/sdi_catalog/salesItemDetails.do?id=99302</v>
      </c>
      <c r="B796" s="8" t="s">
        <v>1899</v>
      </c>
      <c r="C796" s="8" t="s">
        <v>1809</v>
      </c>
      <c r="D796" s="8" t="s">
        <v>1900</v>
      </c>
      <c r="E796" s="8" t="s">
        <v>1901</v>
      </c>
      <c r="F796" s="8" t="s">
        <v>16</v>
      </c>
      <c r="G796" s="8" t="s">
        <v>310</v>
      </c>
      <c r="H796" s="8" t="s">
        <v>33</v>
      </c>
      <c r="I796" s="9" t="n">
        <v>40787</v>
      </c>
      <c r="J796" s="8" t="s">
        <v>19</v>
      </c>
      <c r="K796" s="8" t="s">
        <v>20</v>
      </c>
    </row>
    <row r="797" customFormat="false" ht="12.8" hidden="false" customHeight="false" outlineLevel="0" collapsed="false">
      <c r="A797" s="8" t="str">
        <f aca="false">HYPERLINK("https://www.fabsurplus.com/sdi_catalog/salesItemDetails.do?id=99301")</f>
        <v>https://www.fabsurplus.com/sdi_catalog/salesItemDetails.do?id=99301</v>
      </c>
      <c r="B797" s="8" t="s">
        <v>1902</v>
      </c>
      <c r="C797" s="8" t="s">
        <v>1809</v>
      </c>
      <c r="D797" s="8" t="s">
        <v>1900</v>
      </c>
      <c r="E797" s="8" t="s">
        <v>1901</v>
      </c>
      <c r="F797" s="8" t="s">
        <v>16</v>
      </c>
      <c r="G797" s="8" t="s">
        <v>310</v>
      </c>
      <c r="H797" s="8" t="s">
        <v>33</v>
      </c>
      <c r="I797" s="9" t="n">
        <v>40330</v>
      </c>
      <c r="J797" s="8" t="s">
        <v>19</v>
      </c>
      <c r="K797" s="8" t="s">
        <v>20</v>
      </c>
    </row>
    <row r="798" customFormat="false" ht="12.8" hidden="false" customHeight="false" outlineLevel="0" collapsed="false">
      <c r="A798" s="6" t="str">
        <f aca="false">HYPERLINK("https://www.fabsurplus.com/sdi_catalog/salesItemDetails.do?id=100100")</f>
        <v>https://www.fabsurplus.com/sdi_catalog/salesItemDetails.do?id=100100</v>
      </c>
      <c r="B798" s="6" t="s">
        <v>1903</v>
      </c>
      <c r="C798" s="6" t="s">
        <v>1809</v>
      </c>
      <c r="D798" s="6" t="s">
        <v>1904</v>
      </c>
      <c r="E798" s="6" t="s">
        <v>1447</v>
      </c>
      <c r="F798" s="6" t="s">
        <v>16</v>
      </c>
      <c r="G798" s="6" t="s">
        <v>686</v>
      </c>
      <c r="H798" s="6"/>
      <c r="I798" s="7" t="n">
        <v>40330</v>
      </c>
      <c r="J798" s="6" t="s">
        <v>19</v>
      </c>
      <c r="K798" s="6"/>
    </row>
    <row r="799" customFormat="false" ht="12.8" hidden="false" customHeight="false" outlineLevel="0" collapsed="false">
      <c r="A799" s="8" t="str">
        <f aca="false">HYPERLINK("https://www.fabsurplus.com/sdi_catalog/salesItemDetails.do?id=100099")</f>
        <v>https://www.fabsurplus.com/sdi_catalog/salesItemDetails.do?id=100099</v>
      </c>
      <c r="B799" s="8" t="s">
        <v>1905</v>
      </c>
      <c r="C799" s="8" t="s">
        <v>1809</v>
      </c>
      <c r="D799" s="8" t="s">
        <v>1904</v>
      </c>
      <c r="E799" s="8" t="s">
        <v>1447</v>
      </c>
      <c r="F799" s="8" t="s">
        <v>16</v>
      </c>
      <c r="G799" s="8" t="s">
        <v>686</v>
      </c>
      <c r="H799" s="8"/>
      <c r="I799" s="9" t="n">
        <v>40695</v>
      </c>
      <c r="J799" s="8" t="s">
        <v>19</v>
      </c>
      <c r="K799" s="8"/>
    </row>
    <row r="800" customFormat="false" ht="12.8" hidden="false" customHeight="false" outlineLevel="0" collapsed="false">
      <c r="A800" s="8" t="str">
        <f aca="false">HYPERLINK("https://www.fabsurplus.com/sdi_catalog/salesItemDetails.do?id=100848")</f>
        <v>https://www.fabsurplus.com/sdi_catalog/salesItemDetails.do?id=100848</v>
      </c>
      <c r="B800" s="8" t="s">
        <v>1906</v>
      </c>
      <c r="C800" s="8" t="s">
        <v>1809</v>
      </c>
      <c r="D800" s="8" t="s">
        <v>1907</v>
      </c>
      <c r="E800" s="8" t="s">
        <v>1908</v>
      </c>
      <c r="F800" s="8" t="s">
        <v>16</v>
      </c>
      <c r="G800" s="8" t="s">
        <v>328</v>
      </c>
      <c r="H800" s="8"/>
      <c r="I800" s="9" t="n">
        <v>42156</v>
      </c>
      <c r="J800" s="8" t="s">
        <v>19</v>
      </c>
      <c r="K800" s="8"/>
    </row>
    <row r="801" customFormat="false" ht="12.8" hidden="false" customHeight="false" outlineLevel="0" collapsed="false">
      <c r="A801" s="6" t="str">
        <f aca="false">HYPERLINK("https://www.fabsurplus.com/sdi_catalog/salesItemDetails.do?id=97906")</f>
        <v>https://www.fabsurplus.com/sdi_catalog/salesItemDetails.do?id=97906</v>
      </c>
      <c r="B801" s="6" t="s">
        <v>1909</v>
      </c>
      <c r="C801" s="6" t="s">
        <v>1809</v>
      </c>
      <c r="D801" s="6" t="s">
        <v>1910</v>
      </c>
      <c r="E801" s="6" t="s">
        <v>1911</v>
      </c>
      <c r="F801" s="6" t="s">
        <v>211</v>
      </c>
      <c r="G801" s="6" t="s">
        <v>1851</v>
      </c>
      <c r="H801" s="6"/>
      <c r="I801" s="6"/>
      <c r="J801" s="6" t="s">
        <v>81</v>
      </c>
      <c r="K801" s="6"/>
    </row>
    <row r="802" customFormat="false" ht="12.8" hidden="false" customHeight="false" outlineLevel="0" collapsed="false">
      <c r="A802" s="8" t="str">
        <f aca="false">HYPERLINK("https://www.fabsurplus.com/sdi_catalog/salesItemDetails.do?id=97907")</f>
        <v>https://www.fabsurplus.com/sdi_catalog/salesItemDetails.do?id=97907</v>
      </c>
      <c r="B802" s="8" t="s">
        <v>1912</v>
      </c>
      <c r="C802" s="8" t="s">
        <v>1809</v>
      </c>
      <c r="D802" s="8" t="s">
        <v>1913</v>
      </c>
      <c r="E802" s="8" t="s">
        <v>1850</v>
      </c>
      <c r="F802" s="8" t="s">
        <v>16</v>
      </c>
      <c r="G802" s="8" t="s">
        <v>1851</v>
      </c>
      <c r="H802" s="8"/>
      <c r="I802" s="8"/>
      <c r="J802" s="8" t="s">
        <v>81</v>
      </c>
      <c r="K802" s="8"/>
    </row>
    <row r="803" customFormat="false" ht="12.8" hidden="false" customHeight="false" outlineLevel="0" collapsed="false">
      <c r="A803" s="8" t="str">
        <f aca="false">HYPERLINK("https://www.fabsurplus.com/sdi_catalog/salesItemDetails.do?id=98443")</f>
        <v>https://www.fabsurplus.com/sdi_catalog/salesItemDetails.do?id=98443</v>
      </c>
      <c r="B803" s="8" t="s">
        <v>1914</v>
      </c>
      <c r="C803" s="8" t="s">
        <v>1809</v>
      </c>
      <c r="D803" s="8" t="s">
        <v>1915</v>
      </c>
      <c r="E803" s="8" t="s">
        <v>1916</v>
      </c>
      <c r="F803" s="8" t="s">
        <v>16</v>
      </c>
      <c r="G803" s="8" t="s">
        <v>1917</v>
      </c>
      <c r="H803" s="8"/>
      <c r="I803" s="8"/>
      <c r="J803" s="8" t="s">
        <v>19</v>
      </c>
      <c r="K803" s="8"/>
    </row>
    <row r="804" customFormat="false" ht="12.8" hidden="false" customHeight="false" outlineLevel="0" collapsed="false">
      <c r="A804" s="6" t="str">
        <f aca="false">HYPERLINK("https://www.fabsurplus.com/sdi_catalog/salesItemDetails.do?id=99876")</f>
        <v>https://www.fabsurplus.com/sdi_catalog/salesItemDetails.do?id=99876</v>
      </c>
      <c r="B804" s="6" t="s">
        <v>1918</v>
      </c>
      <c r="C804" s="6" t="s">
        <v>1809</v>
      </c>
      <c r="D804" s="6" t="s">
        <v>1919</v>
      </c>
      <c r="E804" s="6" t="s">
        <v>1920</v>
      </c>
      <c r="F804" s="6" t="s">
        <v>16</v>
      </c>
      <c r="G804" s="6" t="s">
        <v>32</v>
      </c>
      <c r="H804" s="6" t="s">
        <v>33</v>
      </c>
      <c r="I804" s="7" t="n">
        <v>41791</v>
      </c>
      <c r="J804" s="6" t="s">
        <v>19</v>
      </c>
      <c r="K804" s="6" t="s">
        <v>20</v>
      </c>
    </row>
    <row r="805" customFormat="false" ht="12.8" hidden="false" customHeight="false" outlineLevel="0" collapsed="false">
      <c r="A805" s="6" t="str">
        <f aca="false">HYPERLINK("https://www.fabsurplus.com/sdi_catalog/salesItemDetails.do?id=98444")</f>
        <v>https://www.fabsurplus.com/sdi_catalog/salesItemDetails.do?id=98444</v>
      </c>
      <c r="B805" s="6" t="s">
        <v>1921</v>
      </c>
      <c r="C805" s="6" t="s">
        <v>1809</v>
      </c>
      <c r="D805" s="6" t="s">
        <v>1922</v>
      </c>
      <c r="E805" s="6" t="s">
        <v>1916</v>
      </c>
      <c r="F805" s="6" t="s">
        <v>16</v>
      </c>
      <c r="G805" s="6" t="s">
        <v>1917</v>
      </c>
      <c r="H805" s="6"/>
      <c r="I805" s="6"/>
      <c r="J805" s="6" t="s">
        <v>19</v>
      </c>
      <c r="K805" s="6"/>
    </row>
    <row r="806" customFormat="false" ht="12.8" hidden="false" customHeight="false" outlineLevel="0" collapsed="false">
      <c r="A806" s="8" t="str">
        <f aca="false">HYPERLINK("https://www.fabsurplus.com/sdi_catalog/salesItemDetails.do?id=98558")</f>
        <v>https://www.fabsurplus.com/sdi_catalog/salesItemDetails.do?id=98558</v>
      </c>
      <c r="B806" s="8" t="s">
        <v>1923</v>
      </c>
      <c r="C806" s="8" t="s">
        <v>1809</v>
      </c>
      <c r="D806" s="8" t="s">
        <v>1924</v>
      </c>
      <c r="E806" s="8" t="s">
        <v>1925</v>
      </c>
      <c r="F806" s="8" t="s">
        <v>16</v>
      </c>
      <c r="G806" s="8" t="s">
        <v>434</v>
      </c>
      <c r="H806" s="8"/>
      <c r="I806" s="8"/>
      <c r="J806" s="8" t="s">
        <v>19</v>
      </c>
      <c r="K806" s="8"/>
    </row>
    <row r="807" customFormat="false" ht="12.8" hidden="false" customHeight="false" outlineLevel="0" collapsed="false">
      <c r="A807" s="8" t="str">
        <f aca="false">HYPERLINK("https://www.fabsurplus.com/sdi_catalog/salesItemDetails.do?id=97187")</f>
        <v>https://www.fabsurplus.com/sdi_catalog/salesItemDetails.do?id=97187</v>
      </c>
      <c r="B807" s="8" t="s">
        <v>1926</v>
      </c>
      <c r="C807" s="8" t="s">
        <v>1927</v>
      </c>
      <c r="D807" s="8" t="s">
        <v>1928</v>
      </c>
      <c r="E807" s="8" t="s">
        <v>1929</v>
      </c>
      <c r="F807" s="8" t="s">
        <v>16</v>
      </c>
      <c r="G807" s="8" t="s">
        <v>434</v>
      </c>
      <c r="H807" s="8"/>
      <c r="I807" s="9" t="n">
        <v>43252</v>
      </c>
      <c r="J807" s="8" t="s">
        <v>19</v>
      </c>
      <c r="K807" s="8"/>
    </row>
    <row r="808" customFormat="false" ht="12.8" hidden="false" customHeight="false" outlineLevel="0" collapsed="false">
      <c r="A808" s="6" t="str">
        <f aca="false">HYPERLINK("https://www.fabsurplus.com/sdi_catalog/salesItemDetails.do?id=99118")</f>
        <v>https://www.fabsurplus.com/sdi_catalog/salesItemDetails.do?id=99118</v>
      </c>
      <c r="B808" s="6" t="s">
        <v>1930</v>
      </c>
      <c r="C808" s="6" t="s">
        <v>1931</v>
      </c>
      <c r="D808" s="6" t="s">
        <v>1867</v>
      </c>
      <c r="E808" s="6" t="s">
        <v>1707</v>
      </c>
      <c r="F808" s="6" t="s">
        <v>16</v>
      </c>
      <c r="G808" s="6" t="s">
        <v>686</v>
      </c>
      <c r="H808" s="6"/>
      <c r="I808" s="6"/>
      <c r="J808" s="6" t="s">
        <v>19</v>
      </c>
      <c r="K808" s="6"/>
    </row>
    <row r="809" customFormat="false" ht="12.8" hidden="false" customHeight="false" outlineLevel="0" collapsed="false">
      <c r="A809" s="6" t="str">
        <f aca="false">HYPERLINK("https://www.fabsurplus.com/sdi_catalog/salesItemDetails.do?id=98090")</f>
        <v>https://www.fabsurplus.com/sdi_catalog/salesItemDetails.do?id=98090</v>
      </c>
      <c r="B809" s="6" t="s">
        <v>1932</v>
      </c>
      <c r="C809" s="6" t="s">
        <v>1933</v>
      </c>
      <c r="D809" s="6" t="s">
        <v>1934</v>
      </c>
      <c r="E809" s="6" t="s">
        <v>1935</v>
      </c>
      <c r="F809" s="6" t="s">
        <v>16</v>
      </c>
      <c r="G809" s="6" t="s">
        <v>310</v>
      </c>
      <c r="H809" s="6"/>
      <c r="I809" s="7" t="n">
        <v>38139</v>
      </c>
      <c r="J809" s="6" t="s">
        <v>19</v>
      </c>
      <c r="K809" s="6"/>
    </row>
    <row r="810" customFormat="false" ht="12.8" hidden="false" customHeight="false" outlineLevel="0" collapsed="false">
      <c r="A810" s="8" t="str">
        <f aca="false">HYPERLINK("https://www.fabsurplus.com/sdi_catalog/salesItemDetails.do?id=98804")</f>
        <v>https://www.fabsurplus.com/sdi_catalog/salesItemDetails.do?id=98804</v>
      </c>
      <c r="B810" s="8" t="s">
        <v>1936</v>
      </c>
      <c r="C810" s="8" t="s">
        <v>1933</v>
      </c>
      <c r="D810" s="8" t="s">
        <v>1937</v>
      </c>
      <c r="E810" s="8" t="s">
        <v>1935</v>
      </c>
      <c r="F810" s="8" t="s">
        <v>16</v>
      </c>
      <c r="G810" s="8" t="s">
        <v>310</v>
      </c>
      <c r="H810" s="8"/>
      <c r="I810" s="9" t="n">
        <v>37742</v>
      </c>
      <c r="J810" s="8" t="s">
        <v>19</v>
      </c>
      <c r="K810" s="8"/>
    </row>
    <row r="811" customFormat="false" ht="12.8" hidden="false" customHeight="false" outlineLevel="0" collapsed="false">
      <c r="A811" s="8" t="str">
        <f aca="false">HYPERLINK("https://www.fabsurplus.com/sdi_catalog/salesItemDetails.do?id=98091")</f>
        <v>https://www.fabsurplus.com/sdi_catalog/salesItemDetails.do?id=98091</v>
      </c>
      <c r="B811" s="8" t="s">
        <v>1938</v>
      </c>
      <c r="C811" s="8" t="s">
        <v>1933</v>
      </c>
      <c r="D811" s="8" t="s">
        <v>1939</v>
      </c>
      <c r="E811" s="8" t="s">
        <v>1935</v>
      </c>
      <c r="F811" s="8" t="s">
        <v>16</v>
      </c>
      <c r="G811" s="8" t="s">
        <v>310</v>
      </c>
      <c r="H811" s="8"/>
      <c r="I811" s="9" t="n">
        <v>37043</v>
      </c>
      <c r="J811" s="8" t="s">
        <v>19</v>
      </c>
      <c r="K811" s="8"/>
    </row>
    <row r="812" customFormat="false" ht="12.8" hidden="false" customHeight="false" outlineLevel="0" collapsed="false">
      <c r="A812" s="6" t="str">
        <f aca="false">HYPERLINK("https://www.fabsurplus.com/sdi_catalog/salesItemDetails.do?id=99287")</f>
        <v>https://www.fabsurplus.com/sdi_catalog/salesItemDetails.do?id=99287</v>
      </c>
      <c r="B812" s="6" t="s">
        <v>1940</v>
      </c>
      <c r="C812" s="6" t="s">
        <v>1933</v>
      </c>
      <c r="D812" s="6" t="s">
        <v>1941</v>
      </c>
      <c r="E812" s="6" t="s">
        <v>1942</v>
      </c>
      <c r="F812" s="6" t="s">
        <v>16</v>
      </c>
      <c r="G812" s="6" t="s">
        <v>32</v>
      </c>
      <c r="H812" s="6" t="s">
        <v>33</v>
      </c>
      <c r="I812" s="7" t="n">
        <v>37043</v>
      </c>
      <c r="J812" s="6" t="s">
        <v>19</v>
      </c>
      <c r="K812" s="6" t="s">
        <v>20</v>
      </c>
    </row>
    <row r="813" customFormat="false" ht="12.8" hidden="false" customHeight="false" outlineLevel="0" collapsed="false">
      <c r="A813" s="6" t="str">
        <f aca="false">HYPERLINK("https://www.fabsurplus.com/sdi_catalog/salesItemDetails.do?id=98265")</f>
        <v>https://www.fabsurplus.com/sdi_catalog/salesItemDetails.do?id=98265</v>
      </c>
      <c r="B813" s="6" t="s">
        <v>1943</v>
      </c>
      <c r="C813" s="6" t="s">
        <v>1933</v>
      </c>
      <c r="D813" s="6" t="s">
        <v>1944</v>
      </c>
      <c r="E813" s="6" t="s">
        <v>1945</v>
      </c>
      <c r="F813" s="6" t="s">
        <v>16</v>
      </c>
      <c r="G813" s="6" t="s">
        <v>310</v>
      </c>
      <c r="H813" s="6"/>
      <c r="I813" s="6"/>
      <c r="J813" s="6" t="s">
        <v>19</v>
      </c>
      <c r="K813" s="6"/>
    </row>
    <row r="814" customFormat="false" ht="12.8" hidden="false" customHeight="false" outlineLevel="0" collapsed="false">
      <c r="A814" s="8" t="str">
        <f aca="false">HYPERLINK("https://www.fabsurplus.com/sdi_catalog/salesItemDetails.do?id=98093")</f>
        <v>https://www.fabsurplus.com/sdi_catalog/salesItemDetails.do?id=98093</v>
      </c>
      <c r="B814" s="8" t="s">
        <v>1946</v>
      </c>
      <c r="C814" s="8" t="s">
        <v>1933</v>
      </c>
      <c r="D814" s="8" t="s">
        <v>1944</v>
      </c>
      <c r="E814" s="8" t="s">
        <v>1935</v>
      </c>
      <c r="F814" s="8" t="s">
        <v>16</v>
      </c>
      <c r="G814" s="8" t="s">
        <v>310</v>
      </c>
      <c r="H814" s="8"/>
      <c r="I814" s="9" t="n">
        <v>38869</v>
      </c>
      <c r="J814" s="8" t="s">
        <v>19</v>
      </c>
      <c r="K814" s="8"/>
    </row>
    <row r="815" customFormat="false" ht="12.8" hidden="false" customHeight="false" outlineLevel="0" collapsed="false">
      <c r="A815" s="6" t="str">
        <f aca="false">HYPERLINK("https://www.fabsurplus.com/sdi_catalog/salesItemDetails.do?id=100024")</f>
        <v>https://www.fabsurplus.com/sdi_catalog/salesItemDetails.do?id=100024</v>
      </c>
      <c r="B815" s="6" t="s">
        <v>1947</v>
      </c>
      <c r="C815" s="6" t="s">
        <v>1933</v>
      </c>
      <c r="D815" s="6" t="s">
        <v>1948</v>
      </c>
      <c r="E815" s="6" t="s">
        <v>1949</v>
      </c>
      <c r="F815" s="6" t="s">
        <v>16</v>
      </c>
      <c r="G815" s="6" t="s">
        <v>310</v>
      </c>
      <c r="H815" s="6" t="s">
        <v>18</v>
      </c>
      <c r="I815" s="7" t="n">
        <v>38808</v>
      </c>
      <c r="J815" s="6" t="s">
        <v>19</v>
      </c>
      <c r="K815" s="6" t="s">
        <v>1950</v>
      </c>
    </row>
    <row r="816" customFormat="false" ht="12.8" hidden="false" customHeight="false" outlineLevel="0" collapsed="false">
      <c r="A816" s="8" t="str">
        <f aca="false">HYPERLINK("https://www.fabsurplus.com/sdi_catalog/salesItemDetails.do?id=100023")</f>
        <v>https://www.fabsurplus.com/sdi_catalog/salesItemDetails.do?id=100023</v>
      </c>
      <c r="B816" s="8" t="s">
        <v>1951</v>
      </c>
      <c r="C816" s="8" t="s">
        <v>1933</v>
      </c>
      <c r="D816" s="8" t="s">
        <v>1948</v>
      </c>
      <c r="E816" s="8" t="s">
        <v>1949</v>
      </c>
      <c r="F816" s="8" t="s">
        <v>16</v>
      </c>
      <c r="G816" s="8" t="s">
        <v>310</v>
      </c>
      <c r="H816" s="8" t="s">
        <v>18</v>
      </c>
      <c r="I816" s="9" t="n">
        <v>38078</v>
      </c>
      <c r="J816" s="8" t="s">
        <v>19</v>
      </c>
      <c r="K816" s="8" t="s">
        <v>1950</v>
      </c>
    </row>
    <row r="817" customFormat="false" ht="12.8" hidden="false" customHeight="false" outlineLevel="0" collapsed="false">
      <c r="A817" s="6" t="str">
        <f aca="false">HYPERLINK("https://www.fabsurplus.com/sdi_catalog/salesItemDetails.do?id=100022")</f>
        <v>https://www.fabsurplus.com/sdi_catalog/salesItemDetails.do?id=100022</v>
      </c>
      <c r="B817" s="6" t="s">
        <v>1952</v>
      </c>
      <c r="C817" s="6" t="s">
        <v>1933</v>
      </c>
      <c r="D817" s="6" t="s">
        <v>1948</v>
      </c>
      <c r="E817" s="6" t="s">
        <v>1949</v>
      </c>
      <c r="F817" s="6" t="s">
        <v>16</v>
      </c>
      <c r="G817" s="6" t="s">
        <v>310</v>
      </c>
      <c r="H817" s="6" t="s">
        <v>18</v>
      </c>
      <c r="I817" s="7" t="n">
        <v>38869</v>
      </c>
      <c r="J817" s="6" t="s">
        <v>19</v>
      </c>
      <c r="K817" s="6" t="s">
        <v>1950</v>
      </c>
    </row>
    <row r="818" customFormat="false" ht="12.8" hidden="false" customHeight="false" outlineLevel="0" collapsed="false">
      <c r="A818" s="6" t="str">
        <f aca="false">HYPERLINK("https://www.fabsurplus.com/sdi_catalog/salesItemDetails.do?id=98092")</f>
        <v>https://www.fabsurplus.com/sdi_catalog/salesItemDetails.do?id=98092</v>
      </c>
      <c r="B818" s="6" t="s">
        <v>1953</v>
      </c>
      <c r="C818" s="6" t="s">
        <v>1933</v>
      </c>
      <c r="D818" s="6" t="s">
        <v>1954</v>
      </c>
      <c r="E818" s="6" t="s">
        <v>1935</v>
      </c>
      <c r="F818" s="6" t="s">
        <v>16</v>
      </c>
      <c r="G818" s="6" t="s">
        <v>310</v>
      </c>
      <c r="H818" s="6"/>
      <c r="I818" s="7" t="n">
        <v>38869</v>
      </c>
      <c r="J818" s="6" t="s">
        <v>19</v>
      </c>
      <c r="K818" s="6"/>
    </row>
    <row r="819" customFormat="false" ht="12.8" hidden="false" customHeight="false" outlineLevel="0" collapsed="false">
      <c r="A819" s="8" t="str">
        <f aca="false">HYPERLINK("https://www.fabsurplus.com/sdi_catalog/salesItemDetails.do?id=97046")</f>
        <v>https://www.fabsurplus.com/sdi_catalog/salesItemDetails.do?id=97046</v>
      </c>
      <c r="B819" s="8" t="s">
        <v>1955</v>
      </c>
      <c r="C819" s="8" t="s">
        <v>1933</v>
      </c>
      <c r="D819" s="8" t="s">
        <v>1956</v>
      </c>
      <c r="E819" s="8" t="s">
        <v>1957</v>
      </c>
      <c r="F819" s="8" t="s">
        <v>16</v>
      </c>
      <c r="G819" s="8" t="s">
        <v>310</v>
      </c>
      <c r="H819" s="8" t="s">
        <v>18</v>
      </c>
      <c r="I819" s="8"/>
      <c r="J819" s="8" t="s">
        <v>19</v>
      </c>
      <c r="K819" s="8" t="s">
        <v>20</v>
      </c>
    </row>
    <row r="820" customFormat="false" ht="12.8" hidden="false" customHeight="false" outlineLevel="0" collapsed="false">
      <c r="A820" s="8" t="str">
        <f aca="false">HYPERLINK("https://www.fabsurplus.com/sdi_catalog/salesItemDetails.do?id=98559")</f>
        <v>https://www.fabsurplus.com/sdi_catalog/salesItemDetails.do?id=98559</v>
      </c>
      <c r="B820" s="8" t="s">
        <v>1958</v>
      </c>
      <c r="C820" s="8" t="s">
        <v>1933</v>
      </c>
      <c r="D820" s="8" t="s">
        <v>1959</v>
      </c>
      <c r="E820" s="8" t="s">
        <v>1960</v>
      </c>
      <c r="F820" s="8" t="s">
        <v>16</v>
      </c>
      <c r="G820" s="8" t="s">
        <v>310</v>
      </c>
      <c r="H820" s="8"/>
      <c r="I820" s="8"/>
      <c r="J820" s="8" t="s">
        <v>19</v>
      </c>
      <c r="K820" s="8"/>
    </row>
    <row r="821" customFormat="false" ht="12.8" hidden="false" customHeight="false" outlineLevel="0" collapsed="false">
      <c r="A821" s="6" t="str">
        <f aca="false">HYPERLINK("https://www.fabsurplus.com/sdi_catalog/salesItemDetails.do?id=98568")</f>
        <v>https://www.fabsurplus.com/sdi_catalog/salesItemDetails.do?id=98568</v>
      </c>
      <c r="B821" s="6" t="s">
        <v>1961</v>
      </c>
      <c r="C821" s="6" t="s">
        <v>1962</v>
      </c>
      <c r="D821" s="6" t="s">
        <v>1963</v>
      </c>
      <c r="E821" s="6" t="s">
        <v>1964</v>
      </c>
      <c r="F821" s="6" t="s">
        <v>16</v>
      </c>
      <c r="G821" s="6" t="s">
        <v>434</v>
      </c>
      <c r="H821" s="6"/>
      <c r="I821" s="6"/>
      <c r="J821" s="6" t="s">
        <v>19</v>
      </c>
      <c r="K821" s="6"/>
    </row>
    <row r="822" customFormat="false" ht="12.8" hidden="false" customHeight="false" outlineLevel="0" collapsed="false">
      <c r="A822" s="8" t="str">
        <f aca="false">HYPERLINK("https://www.fabsurplus.com/sdi_catalog/salesItemDetails.do?id=98567")</f>
        <v>https://www.fabsurplus.com/sdi_catalog/salesItemDetails.do?id=98567</v>
      </c>
      <c r="B822" s="8" t="s">
        <v>1965</v>
      </c>
      <c r="C822" s="8" t="s">
        <v>1962</v>
      </c>
      <c r="D822" s="8" t="s">
        <v>1963</v>
      </c>
      <c r="E822" s="8" t="s">
        <v>1964</v>
      </c>
      <c r="F822" s="8" t="s">
        <v>16</v>
      </c>
      <c r="G822" s="8" t="s">
        <v>434</v>
      </c>
      <c r="H822" s="8"/>
      <c r="I822" s="8"/>
      <c r="J822" s="8" t="s">
        <v>19</v>
      </c>
      <c r="K822" s="8"/>
    </row>
    <row r="823" customFormat="false" ht="12.8" hidden="false" customHeight="false" outlineLevel="0" collapsed="false">
      <c r="A823" s="6" t="str">
        <f aca="false">HYPERLINK("https://www.fabsurplus.com/sdi_catalog/salesItemDetails.do?id=98566")</f>
        <v>https://www.fabsurplus.com/sdi_catalog/salesItemDetails.do?id=98566</v>
      </c>
      <c r="B823" s="6" t="s">
        <v>1966</v>
      </c>
      <c r="C823" s="6" t="s">
        <v>1962</v>
      </c>
      <c r="D823" s="6" t="s">
        <v>1963</v>
      </c>
      <c r="E823" s="6" t="s">
        <v>1964</v>
      </c>
      <c r="F823" s="6" t="s">
        <v>16</v>
      </c>
      <c r="G823" s="6" t="s">
        <v>434</v>
      </c>
      <c r="H823" s="6"/>
      <c r="I823" s="6"/>
      <c r="J823" s="6" t="s">
        <v>19</v>
      </c>
      <c r="K823" s="6"/>
    </row>
    <row r="824" customFormat="false" ht="12.8" hidden="false" customHeight="false" outlineLevel="0" collapsed="false">
      <c r="A824" s="8" t="str">
        <f aca="false">HYPERLINK("https://www.fabsurplus.com/sdi_catalog/salesItemDetails.do?id=98565")</f>
        <v>https://www.fabsurplus.com/sdi_catalog/salesItemDetails.do?id=98565</v>
      </c>
      <c r="B824" s="8" t="s">
        <v>1967</v>
      </c>
      <c r="C824" s="8" t="s">
        <v>1962</v>
      </c>
      <c r="D824" s="8" t="s">
        <v>1963</v>
      </c>
      <c r="E824" s="8" t="s">
        <v>1964</v>
      </c>
      <c r="F824" s="8" t="s">
        <v>16</v>
      </c>
      <c r="G824" s="8" t="s">
        <v>434</v>
      </c>
      <c r="H824" s="8"/>
      <c r="I824" s="8"/>
      <c r="J824" s="8" t="s">
        <v>19</v>
      </c>
      <c r="K824" s="8"/>
    </row>
    <row r="825" customFormat="false" ht="12.8" hidden="false" customHeight="false" outlineLevel="0" collapsed="false">
      <c r="A825" s="6" t="str">
        <f aca="false">HYPERLINK("https://www.fabsurplus.com/sdi_catalog/salesItemDetails.do?id=98564")</f>
        <v>https://www.fabsurplus.com/sdi_catalog/salesItemDetails.do?id=98564</v>
      </c>
      <c r="B825" s="6" t="s">
        <v>1968</v>
      </c>
      <c r="C825" s="6" t="s">
        <v>1962</v>
      </c>
      <c r="D825" s="6" t="s">
        <v>1963</v>
      </c>
      <c r="E825" s="6" t="s">
        <v>1964</v>
      </c>
      <c r="F825" s="6" t="s">
        <v>16</v>
      </c>
      <c r="G825" s="6" t="s">
        <v>434</v>
      </c>
      <c r="H825" s="6"/>
      <c r="I825" s="6"/>
      <c r="J825" s="6" t="s">
        <v>19</v>
      </c>
      <c r="K825" s="6"/>
    </row>
    <row r="826" customFormat="false" ht="12.8" hidden="false" customHeight="false" outlineLevel="0" collapsed="false">
      <c r="A826" s="8" t="str">
        <f aca="false">HYPERLINK("https://www.fabsurplus.com/sdi_catalog/salesItemDetails.do?id=98563")</f>
        <v>https://www.fabsurplus.com/sdi_catalog/salesItemDetails.do?id=98563</v>
      </c>
      <c r="B826" s="8" t="s">
        <v>1969</v>
      </c>
      <c r="C826" s="8" t="s">
        <v>1962</v>
      </c>
      <c r="D826" s="8" t="s">
        <v>1963</v>
      </c>
      <c r="E826" s="8" t="s">
        <v>1964</v>
      </c>
      <c r="F826" s="8" t="s">
        <v>16</v>
      </c>
      <c r="G826" s="8" t="s">
        <v>434</v>
      </c>
      <c r="H826" s="8"/>
      <c r="I826" s="8"/>
      <c r="J826" s="8" t="s">
        <v>19</v>
      </c>
      <c r="K826" s="8"/>
    </row>
    <row r="827" customFormat="false" ht="12.8" hidden="false" customHeight="false" outlineLevel="0" collapsed="false">
      <c r="A827" s="6" t="str">
        <f aca="false">HYPERLINK("https://www.fabsurplus.com/sdi_catalog/salesItemDetails.do?id=98562")</f>
        <v>https://www.fabsurplus.com/sdi_catalog/salesItemDetails.do?id=98562</v>
      </c>
      <c r="B827" s="6" t="s">
        <v>1970</v>
      </c>
      <c r="C827" s="6" t="s">
        <v>1962</v>
      </c>
      <c r="D827" s="6" t="s">
        <v>1963</v>
      </c>
      <c r="E827" s="6" t="s">
        <v>1964</v>
      </c>
      <c r="F827" s="6" t="s">
        <v>16</v>
      </c>
      <c r="G827" s="6" t="s">
        <v>434</v>
      </c>
      <c r="H827" s="6"/>
      <c r="I827" s="6"/>
      <c r="J827" s="6" t="s">
        <v>19</v>
      </c>
      <c r="K827" s="6"/>
    </row>
    <row r="828" customFormat="false" ht="12.8" hidden="false" customHeight="false" outlineLevel="0" collapsed="false">
      <c r="A828" s="8" t="str">
        <f aca="false">HYPERLINK("https://www.fabsurplus.com/sdi_catalog/salesItemDetails.do?id=98561")</f>
        <v>https://www.fabsurplus.com/sdi_catalog/salesItemDetails.do?id=98561</v>
      </c>
      <c r="B828" s="8" t="s">
        <v>1971</v>
      </c>
      <c r="C828" s="8" t="s">
        <v>1962</v>
      </c>
      <c r="D828" s="8" t="s">
        <v>1963</v>
      </c>
      <c r="E828" s="8" t="s">
        <v>1964</v>
      </c>
      <c r="F828" s="8" t="s">
        <v>16</v>
      </c>
      <c r="G828" s="8" t="s">
        <v>434</v>
      </c>
      <c r="H828" s="8"/>
      <c r="I828" s="8"/>
      <c r="J828" s="8" t="s">
        <v>19</v>
      </c>
      <c r="K828" s="8"/>
    </row>
    <row r="829" customFormat="false" ht="12.8" hidden="false" customHeight="false" outlineLevel="0" collapsed="false">
      <c r="A829" s="6" t="str">
        <f aca="false">HYPERLINK("https://www.fabsurplus.com/sdi_catalog/salesItemDetails.do?id=98560")</f>
        <v>https://www.fabsurplus.com/sdi_catalog/salesItemDetails.do?id=98560</v>
      </c>
      <c r="B829" s="6" t="s">
        <v>1972</v>
      </c>
      <c r="C829" s="6" t="s">
        <v>1962</v>
      </c>
      <c r="D829" s="6" t="s">
        <v>1963</v>
      </c>
      <c r="E829" s="6" t="s">
        <v>1964</v>
      </c>
      <c r="F829" s="6" t="s">
        <v>16</v>
      </c>
      <c r="G829" s="6" t="s">
        <v>434</v>
      </c>
      <c r="H829" s="6"/>
      <c r="I829" s="6"/>
      <c r="J829" s="6" t="s">
        <v>19</v>
      </c>
      <c r="K829" s="6"/>
    </row>
    <row r="830" customFormat="false" ht="12.8" hidden="false" customHeight="false" outlineLevel="0" collapsed="false">
      <c r="A830" s="6" t="str">
        <f aca="false">HYPERLINK("https://www.fabsurplus.com/sdi_catalog/salesItemDetails.do?id=98376")</f>
        <v>https://www.fabsurplus.com/sdi_catalog/salesItemDetails.do?id=98376</v>
      </c>
      <c r="B830" s="6" t="s">
        <v>1973</v>
      </c>
      <c r="C830" s="6" t="s">
        <v>1974</v>
      </c>
      <c r="D830" s="6" t="s">
        <v>1975</v>
      </c>
      <c r="E830" s="6" t="s">
        <v>1976</v>
      </c>
      <c r="F830" s="6" t="s">
        <v>16</v>
      </c>
      <c r="G830" s="6" t="s">
        <v>32</v>
      </c>
      <c r="H830" s="6"/>
      <c r="I830" s="6"/>
      <c r="J830" s="6" t="s">
        <v>19</v>
      </c>
      <c r="K830" s="6"/>
    </row>
    <row r="831" customFormat="false" ht="12.8" hidden="false" customHeight="false" outlineLevel="0" collapsed="false">
      <c r="A831" s="8" t="str">
        <f aca="false">HYPERLINK("https://www.fabsurplus.com/sdi_catalog/salesItemDetails.do?id=98377")</f>
        <v>https://www.fabsurplus.com/sdi_catalog/salesItemDetails.do?id=98377</v>
      </c>
      <c r="B831" s="8" t="s">
        <v>1977</v>
      </c>
      <c r="C831" s="8" t="s">
        <v>1974</v>
      </c>
      <c r="D831" s="8" t="s">
        <v>1978</v>
      </c>
      <c r="E831" s="8" t="s">
        <v>1979</v>
      </c>
      <c r="F831" s="8" t="s">
        <v>16</v>
      </c>
      <c r="G831" s="8" t="s">
        <v>32</v>
      </c>
      <c r="H831" s="8"/>
      <c r="I831" s="8"/>
      <c r="J831" s="8" t="s">
        <v>19</v>
      </c>
      <c r="K831" s="8"/>
    </row>
    <row r="832" customFormat="false" ht="12.8" hidden="false" customHeight="false" outlineLevel="0" collapsed="false">
      <c r="A832" s="8" t="str">
        <f aca="false">HYPERLINK("https://www.fabsurplus.com/sdi_catalog/salesItemDetails.do?id=98445")</f>
        <v>https://www.fabsurplus.com/sdi_catalog/salesItemDetails.do?id=98445</v>
      </c>
      <c r="B832" s="8" t="s">
        <v>1980</v>
      </c>
      <c r="C832" s="8" t="s">
        <v>111</v>
      </c>
      <c r="D832" s="8" t="s">
        <v>1981</v>
      </c>
      <c r="E832" s="8" t="s">
        <v>1982</v>
      </c>
      <c r="F832" s="8" t="s">
        <v>16</v>
      </c>
      <c r="G832" s="8" t="s">
        <v>697</v>
      </c>
      <c r="H832" s="8" t="s">
        <v>33</v>
      </c>
      <c r="I832" s="8"/>
      <c r="J832" s="8" t="s">
        <v>19</v>
      </c>
      <c r="K832" s="8" t="s">
        <v>20</v>
      </c>
    </row>
    <row r="833" customFormat="false" ht="12.8" hidden="false" customHeight="false" outlineLevel="0" collapsed="false">
      <c r="A833" s="6" t="str">
        <f aca="false">HYPERLINK("https://www.fabsurplus.com/sdi_catalog/salesItemDetails.do?id=98446")</f>
        <v>https://www.fabsurplus.com/sdi_catalog/salesItemDetails.do?id=98446</v>
      </c>
      <c r="B833" s="6" t="s">
        <v>1983</v>
      </c>
      <c r="C833" s="6" t="s">
        <v>111</v>
      </c>
      <c r="D833" s="6" t="s">
        <v>1984</v>
      </c>
      <c r="E833" s="6" t="s">
        <v>1982</v>
      </c>
      <c r="F833" s="6" t="s">
        <v>611</v>
      </c>
      <c r="G833" s="6" t="s">
        <v>697</v>
      </c>
      <c r="H833" s="6" t="s">
        <v>33</v>
      </c>
      <c r="I833" s="7" t="n">
        <v>36100</v>
      </c>
      <c r="J833" s="6" t="s">
        <v>19</v>
      </c>
      <c r="K833" s="6" t="s">
        <v>20</v>
      </c>
    </row>
    <row r="834" customFormat="false" ht="12.8" hidden="false" customHeight="false" outlineLevel="0" collapsed="false">
      <c r="A834" s="6" t="str">
        <f aca="false">HYPERLINK("https://www.fabsurplus.com/sdi_catalog/salesItemDetails.do?id=98447")</f>
        <v>https://www.fabsurplus.com/sdi_catalog/salesItemDetails.do?id=98447</v>
      </c>
      <c r="B834" s="6" t="s">
        <v>1985</v>
      </c>
      <c r="C834" s="6" t="s">
        <v>1986</v>
      </c>
      <c r="D834" s="6" t="s">
        <v>1987</v>
      </c>
      <c r="E834" s="6" t="s">
        <v>1988</v>
      </c>
      <c r="F834" s="6" t="s">
        <v>16</v>
      </c>
      <c r="G834" s="6" t="s">
        <v>686</v>
      </c>
      <c r="H834" s="6"/>
      <c r="I834" s="6"/>
      <c r="J834" s="6" t="s">
        <v>19</v>
      </c>
      <c r="K834" s="6"/>
    </row>
    <row r="835" customFormat="false" ht="12.8" hidden="false" customHeight="false" outlineLevel="0" collapsed="false">
      <c r="A835" s="8" t="str">
        <f aca="false">HYPERLINK("https://www.fabsurplus.com/sdi_catalog/salesItemDetails.do?id=99331")</f>
        <v>https://www.fabsurplus.com/sdi_catalog/salesItemDetails.do?id=99331</v>
      </c>
      <c r="B835" s="8" t="s">
        <v>1989</v>
      </c>
      <c r="C835" s="8" t="s">
        <v>1986</v>
      </c>
      <c r="D835" s="8" t="s">
        <v>1990</v>
      </c>
      <c r="E835" s="8" t="s">
        <v>1991</v>
      </c>
      <c r="F835" s="8" t="s">
        <v>16</v>
      </c>
      <c r="G835" s="8" t="s">
        <v>32</v>
      </c>
      <c r="H835" s="8"/>
      <c r="I835" s="9" t="n">
        <v>39600</v>
      </c>
      <c r="J835" s="8" t="s">
        <v>19</v>
      </c>
      <c r="K835" s="8"/>
    </row>
    <row r="836" customFormat="false" ht="12.8" hidden="false" customHeight="false" outlineLevel="0" collapsed="false">
      <c r="A836" s="8" t="str">
        <f aca="false">HYPERLINK("https://www.fabsurplus.com/sdi_catalog/salesItemDetails.do?id=98448")</f>
        <v>https://www.fabsurplus.com/sdi_catalog/salesItemDetails.do?id=98448</v>
      </c>
      <c r="B836" s="8" t="s">
        <v>1992</v>
      </c>
      <c r="C836" s="8" t="s">
        <v>1986</v>
      </c>
      <c r="D836" s="8" t="s">
        <v>1993</v>
      </c>
      <c r="E836" s="8" t="s">
        <v>1994</v>
      </c>
      <c r="F836" s="8" t="s">
        <v>16</v>
      </c>
      <c r="G836" s="8" t="s">
        <v>697</v>
      </c>
      <c r="H836" s="8"/>
      <c r="I836" s="8"/>
      <c r="J836" s="8" t="s">
        <v>19</v>
      </c>
      <c r="K836" s="8"/>
    </row>
    <row r="837" customFormat="false" ht="12.8" hidden="false" customHeight="false" outlineLevel="0" collapsed="false">
      <c r="A837" s="8" t="str">
        <f aca="false">HYPERLINK("https://www.fabsurplus.com/sdi_catalog/salesItemDetails.do?id=97894")</f>
        <v>https://www.fabsurplus.com/sdi_catalog/salesItemDetails.do?id=97894</v>
      </c>
      <c r="B837" s="8" t="s">
        <v>1995</v>
      </c>
      <c r="C837" s="8" t="s">
        <v>1996</v>
      </c>
      <c r="D837" s="8" t="s">
        <v>1997</v>
      </c>
      <c r="E837" s="8" t="s">
        <v>1998</v>
      </c>
      <c r="F837" s="8" t="s">
        <v>16</v>
      </c>
      <c r="G837" s="8"/>
      <c r="H837" s="8"/>
      <c r="I837" s="9" t="n">
        <v>39600</v>
      </c>
      <c r="J837" s="8" t="s">
        <v>19</v>
      </c>
      <c r="K837" s="8"/>
    </row>
    <row r="838" customFormat="false" ht="12.8" hidden="false" customHeight="false" outlineLevel="0" collapsed="false">
      <c r="A838" s="8" t="str">
        <f aca="false">HYPERLINK("https://www.fabsurplus.com/sdi_catalog/salesItemDetails.do?id=100347")</f>
        <v>https://www.fabsurplus.com/sdi_catalog/salesItemDetails.do?id=100347</v>
      </c>
      <c r="B838" s="8" t="s">
        <v>1999</v>
      </c>
      <c r="C838" s="8" t="s">
        <v>2000</v>
      </c>
      <c r="D838" s="8" t="s">
        <v>2001</v>
      </c>
      <c r="E838" s="8" t="s">
        <v>2002</v>
      </c>
      <c r="F838" s="8" t="s">
        <v>16</v>
      </c>
      <c r="G838" s="8"/>
      <c r="H838" s="8" t="s">
        <v>18</v>
      </c>
      <c r="I838" s="8"/>
      <c r="J838" s="8" t="s">
        <v>19</v>
      </c>
      <c r="K838" s="8" t="s">
        <v>20</v>
      </c>
    </row>
    <row r="839" customFormat="false" ht="12.8" hidden="false" customHeight="false" outlineLevel="0" collapsed="false">
      <c r="A839" s="6" t="str">
        <f aca="false">HYPERLINK("https://www.fabsurplus.com/sdi_catalog/salesItemDetails.do?id=99053")</f>
        <v>https://www.fabsurplus.com/sdi_catalog/salesItemDetails.do?id=99053</v>
      </c>
      <c r="B839" s="6" t="s">
        <v>2003</v>
      </c>
      <c r="C839" s="6" t="s">
        <v>2004</v>
      </c>
      <c r="D839" s="6" t="s">
        <v>2005</v>
      </c>
      <c r="E839" s="6" t="s">
        <v>2006</v>
      </c>
      <c r="F839" s="6" t="s">
        <v>16</v>
      </c>
      <c r="G839" s="6" t="s">
        <v>310</v>
      </c>
      <c r="H839" s="6" t="s">
        <v>18</v>
      </c>
      <c r="I839" s="6"/>
      <c r="J839" s="6"/>
      <c r="K839" s="6"/>
    </row>
    <row r="840" customFormat="false" ht="12.8" hidden="false" customHeight="false" outlineLevel="0" collapsed="false">
      <c r="A840" s="6" t="str">
        <f aca="false">HYPERLINK("https://www.fabsurplus.com/sdi_catalog/salesItemDetails.do?id=98266")</f>
        <v>https://www.fabsurplus.com/sdi_catalog/salesItemDetails.do?id=98266</v>
      </c>
      <c r="B840" s="6" t="s">
        <v>2007</v>
      </c>
      <c r="C840" s="6" t="s">
        <v>2008</v>
      </c>
      <c r="D840" s="6" t="s">
        <v>2009</v>
      </c>
      <c r="E840" s="6" t="s">
        <v>2010</v>
      </c>
      <c r="F840" s="6" t="s">
        <v>16</v>
      </c>
      <c r="G840" s="6" t="s">
        <v>32</v>
      </c>
      <c r="H840" s="6" t="s">
        <v>18</v>
      </c>
      <c r="I840" s="6"/>
      <c r="J840" s="6" t="s">
        <v>19</v>
      </c>
      <c r="K840" s="6" t="s">
        <v>20</v>
      </c>
    </row>
    <row r="841" customFormat="false" ht="12.8" hidden="false" customHeight="false" outlineLevel="0" collapsed="false">
      <c r="A841" s="8" t="str">
        <f aca="false">HYPERLINK("https://www.fabsurplus.com/sdi_catalog/salesItemDetails.do?id=98212")</f>
        <v>https://www.fabsurplus.com/sdi_catalog/salesItemDetails.do?id=98212</v>
      </c>
      <c r="B841" s="8" t="s">
        <v>2011</v>
      </c>
      <c r="C841" s="8" t="s">
        <v>2012</v>
      </c>
      <c r="D841" s="8" t="s">
        <v>2013</v>
      </c>
      <c r="E841" s="8" t="s">
        <v>2014</v>
      </c>
      <c r="F841" s="8" t="s">
        <v>16</v>
      </c>
      <c r="G841" s="8" t="s">
        <v>32</v>
      </c>
      <c r="H841" s="8" t="s">
        <v>18</v>
      </c>
      <c r="I841" s="8"/>
      <c r="J841" s="8" t="s">
        <v>19</v>
      </c>
      <c r="K841" s="8" t="s">
        <v>20</v>
      </c>
    </row>
    <row r="842" customFormat="false" ht="12.8" hidden="false" customHeight="false" outlineLevel="0" collapsed="false">
      <c r="A842" s="8" t="str">
        <f aca="false">HYPERLINK("https://www.fabsurplus.com/sdi_catalog/salesItemDetails.do?id=100849")</f>
        <v>https://www.fabsurplus.com/sdi_catalog/salesItemDetails.do?id=100849</v>
      </c>
      <c r="B842" s="8" t="s">
        <v>2015</v>
      </c>
      <c r="C842" s="8" t="s">
        <v>2012</v>
      </c>
      <c r="D842" s="8" t="s">
        <v>2016</v>
      </c>
      <c r="E842" s="8" t="s">
        <v>2017</v>
      </c>
      <c r="F842" s="8" t="s">
        <v>16</v>
      </c>
      <c r="G842" s="8" t="s">
        <v>310</v>
      </c>
      <c r="H842" s="8"/>
      <c r="I842" s="9" t="n">
        <v>37408</v>
      </c>
      <c r="J842" s="8" t="s">
        <v>19</v>
      </c>
      <c r="K842" s="8"/>
    </row>
    <row r="843" customFormat="false" ht="12.8" hidden="false" customHeight="false" outlineLevel="0" collapsed="false">
      <c r="A843" s="8" t="str">
        <f aca="false">HYPERLINK("https://www.fabsurplus.com/sdi_catalog/salesItemDetails.do?id=99305")</f>
        <v>https://www.fabsurplus.com/sdi_catalog/salesItemDetails.do?id=99305</v>
      </c>
      <c r="B843" s="8" t="s">
        <v>2018</v>
      </c>
      <c r="C843" s="8" t="s">
        <v>2012</v>
      </c>
      <c r="D843" s="8" t="s">
        <v>2016</v>
      </c>
      <c r="E843" s="8" t="s">
        <v>2019</v>
      </c>
      <c r="F843" s="8" t="s">
        <v>16</v>
      </c>
      <c r="G843" s="8" t="s">
        <v>310</v>
      </c>
      <c r="H843" s="8" t="s">
        <v>33</v>
      </c>
      <c r="I843" s="9" t="n">
        <v>37408</v>
      </c>
      <c r="J843" s="8" t="s">
        <v>19</v>
      </c>
      <c r="K843" s="8" t="s">
        <v>20</v>
      </c>
    </row>
    <row r="844" customFormat="false" ht="12.8" hidden="false" customHeight="false" outlineLevel="0" collapsed="false">
      <c r="A844" s="6" t="str">
        <f aca="false">HYPERLINK("https://www.fabsurplus.com/sdi_catalog/salesItemDetails.do?id=99306")</f>
        <v>https://www.fabsurplus.com/sdi_catalog/salesItemDetails.do?id=99306</v>
      </c>
      <c r="B844" s="6" t="s">
        <v>2020</v>
      </c>
      <c r="C844" s="6" t="s">
        <v>2012</v>
      </c>
      <c r="D844" s="6" t="s">
        <v>2021</v>
      </c>
      <c r="E844" s="6" t="s">
        <v>2022</v>
      </c>
      <c r="F844" s="6" t="s">
        <v>16</v>
      </c>
      <c r="G844" s="6"/>
      <c r="H844" s="6" t="s">
        <v>33</v>
      </c>
      <c r="I844" s="7" t="n">
        <v>35217</v>
      </c>
      <c r="J844" s="6" t="s">
        <v>19</v>
      </c>
      <c r="K844" s="6" t="s">
        <v>20</v>
      </c>
    </row>
    <row r="845" customFormat="false" ht="12.8" hidden="false" customHeight="false" outlineLevel="0" collapsed="false">
      <c r="A845" s="8" t="str">
        <f aca="false">HYPERLINK("https://www.fabsurplus.com/sdi_catalog/salesItemDetails.do?id=99378")</f>
        <v>https://www.fabsurplus.com/sdi_catalog/salesItemDetails.do?id=99378</v>
      </c>
      <c r="B845" s="8" t="s">
        <v>2023</v>
      </c>
      <c r="C845" s="8" t="s">
        <v>2012</v>
      </c>
      <c r="D845" s="8" t="s">
        <v>2024</v>
      </c>
      <c r="E845" s="8" t="s">
        <v>2025</v>
      </c>
      <c r="F845" s="8" t="s">
        <v>16</v>
      </c>
      <c r="G845" s="8" t="s">
        <v>372</v>
      </c>
      <c r="H845" s="8" t="s">
        <v>33</v>
      </c>
      <c r="I845" s="9" t="n">
        <v>36678</v>
      </c>
      <c r="J845" s="8" t="s">
        <v>19</v>
      </c>
      <c r="K845" s="8" t="s">
        <v>20</v>
      </c>
    </row>
    <row r="846" customFormat="false" ht="12.8" hidden="false" customHeight="false" outlineLevel="0" collapsed="false">
      <c r="A846" s="6" t="str">
        <f aca="false">HYPERLINK("https://www.fabsurplus.com/sdi_catalog/salesItemDetails.do?id=100101")</f>
        <v>https://www.fabsurplus.com/sdi_catalog/salesItemDetails.do?id=100101</v>
      </c>
      <c r="B846" s="6" t="s">
        <v>2026</v>
      </c>
      <c r="C846" s="6" t="s">
        <v>2012</v>
      </c>
      <c r="D846" s="6" t="s">
        <v>2027</v>
      </c>
      <c r="E846" s="6" t="s">
        <v>2028</v>
      </c>
      <c r="F846" s="6" t="s">
        <v>16</v>
      </c>
      <c r="G846" s="6" t="s">
        <v>686</v>
      </c>
      <c r="H846" s="6"/>
      <c r="I846" s="6"/>
      <c r="J846" s="6" t="s">
        <v>19</v>
      </c>
      <c r="K846" s="6"/>
    </row>
    <row r="847" customFormat="false" ht="12.8" hidden="false" customHeight="false" outlineLevel="0" collapsed="false">
      <c r="A847" s="8" t="str">
        <f aca="false">HYPERLINK("https://www.fabsurplus.com/sdi_catalog/salesItemDetails.do?id=99945")</f>
        <v>https://www.fabsurplus.com/sdi_catalog/salesItemDetails.do?id=99945</v>
      </c>
      <c r="B847" s="8" t="s">
        <v>2029</v>
      </c>
      <c r="C847" s="8" t="s">
        <v>2012</v>
      </c>
      <c r="D847" s="8" t="s">
        <v>2030</v>
      </c>
      <c r="E847" s="8" t="s">
        <v>1743</v>
      </c>
      <c r="F847" s="8" t="s">
        <v>16</v>
      </c>
      <c r="G847" s="8" t="s">
        <v>310</v>
      </c>
      <c r="H847" s="8"/>
      <c r="I847" s="8"/>
      <c r="J847" s="8" t="s">
        <v>19</v>
      </c>
      <c r="K847" s="8"/>
    </row>
    <row r="848" customFormat="false" ht="12.8" hidden="false" customHeight="false" outlineLevel="0" collapsed="false">
      <c r="A848" s="6" t="str">
        <f aca="false">HYPERLINK("https://www.fabsurplus.com/sdi_catalog/salesItemDetails.do?id=98569")</f>
        <v>https://www.fabsurplus.com/sdi_catalog/salesItemDetails.do?id=98569</v>
      </c>
      <c r="B848" s="6" t="s">
        <v>2031</v>
      </c>
      <c r="C848" s="6" t="s">
        <v>2012</v>
      </c>
      <c r="D848" s="6" t="s">
        <v>2032</v>
      </c>
      <c r="E848" s="6" t="s">
        <v>1743</v>
      </c>
      <c r="F848" s="6" t="s">
        <v>16</v>
      </c>
      <c r="G848" s="6" t="s">
        <v>310</v>
      </c>
      <c r="H848" s="6"/>
      <c r="I848" s="6"/>
      <c r="J848" s="6" t="s">
        <v>19</v>
      </c>
      <c r="K848" s="6"/>
    </row>
    <row r="849" customFormat="false" ht="12.8" hidden="false" customHeight="false" outlineLevel="0" collapsed="false">
      <c r="A849" s="8" t="str">
        <f aca="false">HYPERLINK("https://www.fabsurplus.com/sdi_catalog/salesItemDetails.do?id=98094")</f>
        <v>https://www.fabsurplus.com/sdi_catalog/salesItemDetails.do?id=98094</v>
      </c>
      <c r="B849" s="8" t="s">
        <v>2033</v>
      </c>
      <c r="C849" s="8" t="s">
        <v>2012</v>
      </c>
      <c r="D849" s="8" t="s">
        <v>2030</v>
      </c>
      <c r="E849" s="8" t="s">
        <v>1743</v>
      </c>
      <c r="F849" s="8" t="s">
        <v>16</v>
      </c>
      <c r="G849" s="8" t="s">
        <v>310</v>
      </c>
      <c r="H849" s="8"/>
      <c r="I849" s="8"/>
      <c r="J849" s="8" t="s">
        <v>19</v>
      </c>
      <c r="K849" s="8"/>
    </row>
    <row r="850" customFormat="false" ht="12.8" hidden="false" customHeight="false" outlineLevel="0" collapsed="false">
      <c r="A850" s="6" t="str">
        <f aca="false">HYPERLINK("https://www.fabsurplus.com/sdi_catalog/salesItemDetails.do?id=98805")</f>
        <v>https://www.fabsurplus.com/sdi_catalog/salesItemDetails.do?id=98805</v>
      </c>
      <c r="B850" s="6" t="s">
        <v>2034</v>
      </c>
      <c r="C850" s="6" t="s">
        <v>2008</v>
      </c>
      <c r="D850" s="6" t="s">
        <v>2035</v>
      </c>
      <c r="E850" s="6" t="s">
        <v>2036</v>
      </c>
      <c r="F850" s="6" t="s">
        <v>16</v>
      </c>
      <c r="G850" s="6" t="s">
        <v>310</v>
      </c>
      <c r="H850" s="6"/>
      <c r="I850" s="7" t="n">
        <v>39264</v>
      </c>
      <c r="J850" s="6" t="s">
        <v>19</v>
      </c>
      <c r="K850" s="6"/>
    </row>
    <row r="851" customFormat="false" ht="12.8" hidden="false" customHeight="false" outlineLevel="0" collapsed="false">
      <c r="A851" s="6" t="str">
        <f aca="false">HYPERLINK("https://www.fabsurplus.com/sdi_catalog/salesItemDetails.do?id=99911")</f>
        <v>https://www.fabsurplus.com/sdi_catalog/salesItemDetails.do?id=99911</v>
      </c>
      <c r="B851" s="6" t="s">
        <v>2037</v>
      </c>
      <c r="C851" s="6" t="s">
        <v>2008</v>
      </c>
      <c r="D851" s="6" t="s">
        <v>2038</v>
      </c>
      <c r="E851" s="6" t="s">
        <v>2036</v>
      </c>
      <c r="F851" s="6" t="s">
        <v>16</v>
      </c>
      <c r="G851" s="6" t="s">
        <v>310</v>
      </c>
      <c r="H851" s="6"/>
      <c r="I851" s="6"/>
      <c r="J851" s="6" t="s">
        <v>19</v>
      </c>
      <c r="K851" s="6"/>
    </row>
    <row r="852" customFormat="false" ht="12.8" hidden="false" customHeight="false" outlineLevel="0" collapsed="false">
      <c r="A852" s="6" t="str">
        <f aca="false">HYPERLINK("https://www.fabsurplus.com/sdi_catalog/salesItemDetails.do?id=98095")</f>
        <v>https://www.fabsurplus.com/sdi_catalog/salesItemDetails.do?id=98095</v>
      </c>
      <c r="B852" s="6" t="s">
        <v>2039</v>
      </c>
      <c r="C852" s="6" t="s">
        <v>2012</v>
      </c>
      <c r="D852" s="6" t="s">
        <v>2040</v>
      </c>
      <c r="E852" s="6" t="s">
        <v>2041</v>
      </c>
      <c r="F852" s="6" t="s">
        <v>16</v>
      </c>
      <c r="G852" s="6" t="s">
        <v>310</v>
      </c>
      <c r="H852" s="6"/>
      <c r="I852" s="7" t="n">
        <v>39234</v>
      </c>
      <c r="J852" s="6" t="s">
        <v>19</v>
      </c>
      <c r="K852" s="6"/>
    </row>
    <row r="853" customFormat="false" ht="12.8" hidden="false" customHeight="false" outlineLevel="0" collapsed="false">
      <c r="A853" s="6" t="str">
        <f aca="false">HYPERLINK("https://www.fabsurplus.com/sdi_catalog/salesItemDetails.do?id=98868")</f>
        <v>https://www.fabsurplus.com/sdi_catalog/salesItemDetails.do?id=98868</v>
      </c>
      <c r="B853" s="6" t="s">
        <v>2042</v>
      </c>
      <c r="C853" s="6" t="s">
        <v>2008</v>
      </c>
      <c r="D853" s="6" t="s">
        <v>2043</v>
      </c>
      <c r="E853" s="6" t="s">
        <v>2036</v>
      </c>
      <c r="F853" s="6" t="s">
        <v>16</v>
      </c>
      <c r="G853" s="6" t="s">
        <v>310</v>
      </c>
      <c r="H853" s="6" t="s">
        <v>18</v>
      </c>
      <c r="I853" s="7" t="n">
        <v>38565</v>
      </c>
      <c r="J853" s="6" t="s">
        <v>19</v>
      </c>
      <c r="K853" s="6" t="s">
        <v>20</v>
      </c>
    </row>
    <row r="854" customFormat="false" ht="12.8" hidden="false" customHeight="false" outlineLevel="0" collapsed="false">
      <c r="A854" s="8" t="str">
        <f aca="false">HYPERLINK("https://www.fabsurplus.com/sdi_catalog/salesItemDetails.do?id=98806")</f>
        <v>https://www.fabsurplus.com/sdi_catalog/salesItemDetails.do?id=98806</v>
      </c>
      <c r="B854" s="8" t="s">
        <v>2044</v>
      </c>
      <c r="C854" s="8" t="s">
        <v>2008</v>
      </c>
      <c r="D854" s="8" t="s">
        <v>2043</v>
      </c>
      <c r="E854" s="8" t="s">
        <v>2036</v>
      </c>
      <c r="F854" s="8" t="s">
        <v>16</v>
      </c>
      <c r="G854" s="8" t="s">
        <v>310</v>
      </c>
      <c r="H854" s="8"/>
      <c r="I854" s="9" t="n">
        <v>38412</v>
      </c>
      <c r="J854" s="8" t="s">
        <v>19</v>
      </c>
      <c r="K854" s="8"/>
    </row>
    <row r="855" customFormat="false" ht="12.8" hidden="false" customHeight="false" outlineLevel="0" collapsed="false">
      <c r="A855" s="8" t="str">
        <f aca="false">HYPERLINK("https://www.fabsurplus.com/sdi_catalog/salesItemDetails.do?id=98096")</f>
        <v>https://www.fabsurplus.com/sdi_catalog/salesItemDetails.do?id=98096</v>
      </c>
      <c r="B855" s="8" t="s">
        <v>2045</v>
      </c>
      <c r="C855" s="8" t="s">
        <v>2012</v>
      </c>
      <c r="D855" s="8" t="s">
        <v>2046</v>
      </c>
      <c r="E855" s="8" t="s">
        <v>2047</v>
      </c>
      <c r="F855" s="8" t="s">
        <v>16</v>
      </c>
      <c r="G855" s="8" t="s">
        <v>310</v>
      </c>
      <c r="H855" s="8"/>
      <c r="I855" s="8"/>
      <c r="J855" s="8" t="s">
        <v>19</v>
      </c>
      <c r="K855" s="8"/>
    </row>
    <row r="856" customFormat="false" ht="12.8" hidden="false" customHeight="false" outlineLevel="0" collapsed="false">
      <c r="A856" s="8" t="str">
        <f aca="false">HYPERLINK("https://www.fabsurplus.com/sdi_catalog/salesItemDetails.do?id=100107")</f>
        <v>https://www.fabsurplus.com/sdi_catalog/salesItemDetails.do?id=100107</v>
      </c>
      <c r="B856" s="8" t="s">
        <v>2048</v>
      </c>
      <c r="C856" s="8" t="s">
        <v>2012</v>
      </c>
      <c r="D856" s="8" t="s">
        <v>2049</v>
      </c>
      <c r="E856" s="8" t="s">
        <v>2050</v>
      </c>
      <c r="F856" s="8" t="s">
        <v>16</v>
      </c>
      <c r="G856" s="8" t="s">
        <v>686</v>
      </c>
      <c r="H856" s="8"/>
      <c r="I856" s="9" t="n">
        <v>39234</v>
      </c>
      <c r="J856" s="8" t="s">
        <v>19</v>
      </c>
      <c r="K856" s="8"/>
    </row>
    <row r="857" customFormat="false" ht="12.8" hidden="false" customHeight="false" outlineLevel="0" collapsed="false">
      <c r="A857" s="6" t="str">
        <f aca="false">HYPERLINK("https://www.fabsurplus.com/sdi_catalog/salesItemDetails.do?id=100106")</f>
        <v>https://www.fabsurplus.com/sdi_catalog/salesItemDetails.do?id=100106</v>
      </c>
      <c r="B857" s="6" t="s">
        <v>2051</v>
      </c>
      <c r="C857" s="6" t="s">
        <v>2012</v>
      </c>
      <c r="D857" s="6" t="s">
        <v>2049</v>
      </c>
      <c r="E857" s="6" t="s">
        <v>2050</v>
      </c>
      <c r="F857" s="6" t="s">
        <v>16</v>
      </c>
      <c r="G857" s="6" t="s">
        <v>686</v>
      </c>
      <c r="H857" s="6"/>
      <c r="I857" s="7" t="n">
        <v>39234</v>
      </c>
      <c r="J857" s="6" t="s">
        <v>19</v>
      </c>
      <c r="K857" s="6"/>
    </row>
    <row r="858" customFormat="false" ht="12.8" hidden="false" customHeight="false" outlineLevel="0" collapsed="false">
      <c r="A858" s="8" t="str">
        <f aca="false">HYPERLINK("https://www.fabsurplus.com/sdi_catalog/salesItemDetails.do?id=100105")</f>
        <v>https://www.fabsurplus.com/sdi_catalog/salesItemDetails.do?id=100105</v>
      </c>
      <c r="B858" s="8" t="s">
        <v>2052</v>
      </c>
      <c r="C858" s="8" t="s">
        <v>2012</v>
      </c>
      <c r="D858" s="8" t="s">
        <v>2049</v>
      </c>
      <c r="E858" s="8" t="s">
        <v>2050</v>
      </c>
      <c r="F858" s="8" t="s">
        <v>16</v>
      </c>
      <c r="G858" s="8" t="s">
        <v>686</v>
      </c>
      <c r="H858" s="8"/>
      <c r="I858" s="9" t="n">
        <v>39264</v>
      </c>
      <c r="J858" s="8" t="s">
        <v>19</v>
      </c>
      <c r="K858" s="8"/>
    </row>
    <row r="859" customFormat="false" ht="12.8" hidden="false" customHeight="false" outlineLevel="0" collapsed="false">
      <c r="A859" s="8" t="str">
        <f aca="false">HYPERLINK("https://www.fabsurplus.com/sdi_catalog/salesItemDetails.do?id=100104")</f>
        <v>https://www.fabsurplus.com/sdi_catalog/salesItemDetails.do?id=100104</v>
      </c>
      <c r="B859" s="8" t="s">
        <v>2053</v>
      </c>
      <c r="C859" s="8" t="s">
        <v>2012</v>
      </c>
      <c r="D859" s="8" t="s">
        <v>2049</v>
      </c>
      <c r="E859" s="8" t="s">
        <v>2050</v>
      </c>
      <c r="F859" s="8" t="s">
        <v>16</v>
      </c>
      <c r="G859" s="8" t="s">
        <v>686</v>
      </c>
      <c r="H859" s="8"/>
      <c r="I859" s="9" t="n">
        <v>39234</v>
      </c>
      <c r="J859" s="8" t="s">
        <v>19</v>
      </c>
      <c r="K859" s="8"/>
    </row>
    <row r="860" customFormat="false" ht="12.8" hidden="false" customHeight="false" outlineLevel="0" collapsed="false">
      <c r="A860" s="6" t="str">
        <f aca="false">HYPERLINK("https://www.fabsurplus.com/sdi_catalog/salesItemDetails.do?id=100103")</f>
        <v>https://www.fabsurplus.com/sdi_catalog/salesItemDetails.do?id=100103</v>
      </c>
      <c r="B860" s="6" t="s">
        <v>2054</v>
      </c>
      <c r="C860" s="6" t="s">
        <v>2012</v>
      </c>
      <c r="D860" s="6" t="s">
        <v>2049</v>
      </c>
      <c r="E860" s="6" t="s">
        <v>2050</v>
      </c>
      <c r="F860" s="6" t="s">
        <v>16</v>
      </c>
      <c r="G860" s="6" t="s">
        <v>686</v>
      </c>
      <c r="H860" s="6"/>
      <c r="I860" s="7" t="n">
        <v>39234</v>
      </c>
      <c r="J860" s="6" t="s">
        <v>19</v>
      </c>
      <c r="K860" s="6"/>
    </row>
    <row r="861" customFormat="false" ht="12.8" hidden="false" customHeight="false" outlineLevel="0" collapsed="false">
      <c r="A861" s="8" t="str">
        <f aca="false">HYPERLINK("https://www.fabsurplus.com/sdi_catalog/salesItemDetails.do?id=100102")</f>
        <v>https://www.fabsurplus.com/sdi_catalog/salesItemDetails.do?id=100102</v>
      </c>
      <c r="B861" s="8" t="s">
        <v>2055</v>
      </c>
      <c r="C861" s="8" t="s">
        <v>2012</v>
      </c>
      <c r="D861" s="8" t="s">
        <v>2049</v>
      </c>
      <c r="E861" s="8" t="s">
        <v>2050</v>
      </c>
      <c r="F861" s="8" t="s">
        <v>16</v>
      </c>
      <c r="G861" s="8" t="s">
        <v>686</v>
      </c>
      <c r="H861" s="8"/>
      <c r="I861" s="9" t="n">
        <v>39234</v>
      </c>
      <c r="J861" s="8" t="s">
        <v>19</v>
      </c>
      <c r="K861" s="8"/>
    </row>
    <row r="862" customFormat="false" ht="12.8" hidden="false" customHeight="false" outlineLevel="0" collapsed="false">
      <c r="A862" s="6" t="str">
        <f aca="false">HYPERLINK("https://www.fabsurplus.com/sdi_catalog/salesItemDetails.do?id=97066")</f>
        <v>https://www.fabsurplus.com/sdi_catalog/salesItemDetails.do?id=97066</v>
      </c>
      <c r="B862" s="6" t="s">
        <v>2056</v>
      </c>
      <c r="C862" s="6" t="s">
        <v>2012</v>
      </c>
      <c r="D862" s="6" t="s">
        <v>2057</v>
      </c>
      <c r="E862" s="6" t="s">
        <v>1743</v>
      </c>
      <c r="F862" s="6" t="s">
        <v>16</v>
      </c>
      <c r="G862" s="6" t="s">
        <v>310</v>
      </c>
      <c r="H862" s="6" t="s">
        <v>18</v>
      </c>
      <c r="I862" s="6"/>
      <c r="J862" s="6" t="s">
        <v>19</v>
      </c>
      <c r="K862" s="6" t="s">
        <v>20</v>
      </c>
    </row>
    <row r="863" customFormat="false" ht="12.8" hidden="false" customHeight="false" outlineLevel="0" collapsed="false">
      <c r="A863" s="6" t="str">
        <f aca="false">HYPERLINK("https://www.fabsurplus.com/sdi_catalog/salesItemDetails.do?id=98310")</f>
        <v>https://www.fabsurplus.com/sdi_catalog/salesItemDetails.do?id=98310</v>
      </c>
      <c r="B863" s="6" t="s">
        <v>2058</v>
      </c>
      <c r="C863" s="6" t="s">
        <v>2059</v>
      </c>
      <c r="D863" s="6" t="s">
        <v>2060</v>
      </c>
      <c r="E863" s="6" t="s">
        <v>2061</v>
      </c>
      <c r="F863" s="6" t="s">
        <v>16</v>
      </c>
      <c r="G863" s="6" t="s">
        <v>32</v>
      </c>
      <c r="H863" s="6" t="s">
        <v>18</v>
      </c>
      <c r="I863" s="7" t="n">
        <v>35217</v>
      </c>
      <c r="J863" s="6" t="s">
        <v>19</v>
      </c>
      <c r="K863" s="6" t="s">
        <v>20</v>
      </c>
    </row>
    <row r="864" customFormat="false" ht="12.8" hidden="false" customHeight="false" outlineLevel="0" collapsed="false">
      <c r="A864" s="8" t="str">
        <f aca="false">HYPERLINK("https://www.fabsurplus.com/sdi_catalog/salesItemDetails.do?id=98331")</f>
        <v>https://www.fabsurplus.com/sdi_catalog/salesItemDetails.do?id=98331</v>
      </c>
      <c r="B864" s="8" t="s">
        <v>2062</v>
      </c>
      <c r="C864" s="8" t="s">
        <v>2063</v>
      </c>
      <c r="D864" s="8" t="s">
        <v>2064</v>
      </c>
      <c r="E864" s="8" t="s">
        <v>2065</v>
      </c>
      <c r="F864" s="8" t="s">
        <v>16</v>
      </c>
      <c r="G864" s="8" t="s">
        <v>32</v>
      </c>
      <c r="H864" s="8" t="s">
        <v>18</v>
      </c>
      <c r="I864" s="9" t="n">
        <v>34851</v>
      </c>
      <c r="J864" s="8" t="s">
        <v>19</v>
      </c>
      <c r="K864" s="8" t="s">
        <v>20</v>
      </c>
    </row>
    <row r="865" customFormat="false" ht="12.8" hidden="false" customHeight="false" outlineLevel="0" collapsed="false">
      <c r="A865" s="8" t="str">
        <f aca="false">HYPERLINK("https://www.fabsurplus.com/sdi_catalog/salesItemDetails.do?id=98708")</f>
        <v>https://www.fabsurplus.com/sdi_catalog/salesItemDetails.do?id=98708</v>
      </c>
      <c r="B865" s="8" t="s">
        <v>2066</v>
      </c>
      <c r="C865" s="8" t="s">
        <v>119</v>
      </c>
      <c r="D865" s="8" t="s">
        <v>2067</v>
      </c>
      <c r="E865" s="8" t="s">
        <v>2068</v>
      </c>
      <c r="F865" s="8" t="s">
        <v>16</v>
      </c>
      <c r="G865" s="8" t="s">
        <v>417</v>
      </c>
      <c r="H865" s="8" t="s">
        <v>18</v>
      </c>
      <c r="I865" s="9" t="n">
        <v>39600</v>
      </c>
      <c r="J865" s="8" t="s">
        <v>19</v>
      </c>
      <c r="K865" s="8" t="s">
        <v>20</v>
      </c>
    </row>
    <row r="866" customFormat="false" ht="12.8" hidden="false" customHeight="false" outlineLevel="0" collapsed="false">
      <c r="A866" s="6" t="str">
        <f aca="false">HYPERLINK("https://www.fabsurplus.com/sdi_catalog/salesItemDetails.do?id=98709")</f>
        <v>https://www.fabsurplus.com/sdi_catalog/salesItemDetails.do?id=98709</v>
      </c>
      <c r="B866" s="6" t="s">
        <v>2069</v>
      </c>
      <c r="C866" s="6" t="s">
        <v>119</v>
      </c>
      <c r="D866" s="6" t="s">
        <v>2070</v>
      </c>
      <c r="E866" s="6" t="s">
        <v>2068</v>
      </c>
      <c r="F866" s="6" t="s">
        <v>16</v>
      </c>
      <c r="G866" s="6" t="s">
        <v>417</v>
      </c>
      <c r="H866" s="6"/>
      <c r="I866" s="7" t="n">
        <v>39600</v>
      </c>
      <c r="J866" s="6" t="s">
        <v>19</v>
      </c>
      <c r="K866" s="6"/>
    </row>
    <row r="867" customFormat="false" ht="12.8" hidden="false" customHeight="false" outlineLevel="0" collapsed="false">
      <c r="A867" s="8" t="str">
        <f aca="false">HYPERLINK("https://www.fabsurplus.com/sdi_catalog/salesItemDetails.do?id=98710")</f>
        <v>https://www.fabsurplus.com/sdi_catalog/salesItemDetails.do?id=98710</v>
      </c>
      <c r="B867" s="8" t="s">
        <v>2071</v>
      </c>
      <c r="C867" s="8" t="s">
        <v>119</v>
      </c>
      <c r="D867" s="8" t="s">
        <v>2072</v>
      </c>
      <c r="E867" s="8" t="s">
        <v>2073</v>
      </c>
      <c r="F867" s="8" t="s">
        <v>16</v>
      </c>
      <c r="G867" s="8" t="s">
        <v>417</v>
      </c>
      <c r="H867" s="8"/>
      <c r="I867" s="9" t="n">
        <v>39600</v>
      </c>
      <c r="J867" s="8" t="s">
        <v>19</v>
      </c>
      <c r="K867" s="8"/>
    </row>
    <row r="868" customFormat="false" ht="12.8" hidden="false" customHeight="false" outlineLevel="0" collapsed="false">
      <c r="A868" s="6" t="str">
        <f aca="false">HYPERLINK("https://www.fabsurplus.com/sdi_catalog/salesItemDetails.do?id=98711")</f>
        <v>https://www.fabsurplus.com/sdi_catalog/salesItemDetails.do?id=98711</v>
      </c>
      <c r="B868" s="6" t="s">
        <v>2074</v>
      </c>
      <c r="C868" s="6" t="s">
        <v>119</v>
      </c>
      <c r="D868" s="6" t="s">
        <v>2075</v>
      </c>
      <c r="E868" s="6" t="s">
        <v>2076</v>
      </c>
      <c r="F868" s="6" t="s">
        <v>16</v>
      </c>
      <c r="G868" s="6" t="s">
        <v>417</v>
      </c>
      <c r="H868" s="6"/>
      <c r="I868" s="7" t="n">
        <v>39600</v>
      </c>
      <c r="J868" s="6" t="s">
        <v>19</v>
      </c>
      <c r="K868" s="6"/>
    </row>
    <row r="869" customFormat="false" ht="12.8" hidden="false" customHeight="false" outlineLevel="0" collapsed="false">
      <c r="A869" s="8" t="str">
        <f aca="false">HYPERLINK("https://www.fabsurplus.com/sdi_catalog/salesItemDetails.do?id=98712")</f>
        <v>https://www.fabsurplus.com/sdi_catalog/salesItemDetails.do?id=98712</v>
      </c>
      <c r="B869" s="8" t="s">
        <v>2077</v>
      </c>
      <c r="C869" s="8" t="s">
        <v>119</v>
      </c>
      <c r="D869" s="8" t="s">
        <v>2078</v>
      </c>
      <c r="E869" s="8" t="s">
        <v>2079</v>
      </c>
      <c r="F869" s="8" t="s">
        <v>16</v>
      </c>
      <c r="G869" s="8" t="s">
        <v>417</v>
      </c>
      <c r="H869" s="8"/>
      <c r="I869" s="9" t="n">
        <v>39600</v>
      </c>
      <c r="J869" s="8" t="s">
        <v>19</v>
      </c>
      <c r="K869" s="8"/>
    </row>
    <row r="870" customFormat="false" ht="12.8" hidden="false" customHeight="false" outlineLevel="0" collapsed="false">
      <c r="A870" s="6" t="str">
        <f aca="false">HYPERLINK("https://www.fabsurplus.com/sdi_catalog/salesItemDetails.do?id=98713")</f>
        <v>https://www.fabsurplus.com/sdi_catalog/salesItemDetails.do?id=98713</v>
      </c>
      <c r="B870" s="6" t="s">
        <v>2080</v>
      </c>
      <c r="C870" s="6" t="s">
        <v>119</v>
      </c>
      <c r="D870" s="6" t="s">
        <v>2081</v>
      </c>
      <c r="E870" s="6" t="s">
        <v>47</v>
      </c>
      <c r="F870" s="6" t="s">
        <v>16</v>
      </c>
      <c r="G870" s="6" t="s">
        <v>417</v>
      </c>
      <c r="H870" s="6"/>
      <c r="I870" s="7" t="n">
        <v>39600</v>
      </c>
      <c r="J870" s="6" t="s">
        <v>19</v>
      </c>
      <c r="K870" s="6"/>
    </row>
    <row r="871" customFormat="false" ht="12.8" hidden="false" customHeight="false" outlineLevel="0" collapsed="false">
      <c r="A871" s="8" t="str">
        <f aca="false">HYPERLINK("https://www.fabsurplus.com/sdi_catalog/salesItemDetails.do?id=98715")</f>
        <v>https://www.fabsurplus.com/sdi_catalog/salesItemDetails.do?id=98715</v>
      </c>
      <c r="B871" s="8" t="s">
        <v>2082</v>
      </c>
      <c r="C871" s="8" t="s">
        <v>2083</v>
      </c>
      <c r="D871" s="8" t="s">
        <v>2084</v>
      </c>
      <c r="E871" s="8" t="s">
        <v>2085</v>
      </c>
      <c r="F871" s="8" t="s">
        <v>16</v>
      </c>
      <c r="G871" s="8" t="s">
        <v>417</v>
      </c>
      <c r="H871" s="8"/>
      <c r="I871" s="9" t="n">
        <v>39600</v>
      </c>
      <c r="J871" s="8" t="s">
        <v>19</v>
      </c>
      <c r="K871" s="8"/>
    </row>
    <row r="872" customFormat="false" ht="12.8" hidden="false" customHeight="false" outlineLevel="0" collapsed="false">
      <c r="A872" s="6" t="str">
        <f aca="false">HYPERLINK("https://www.fabsurplus.com/sdi_catalog/salesItemDetails.do?id=98716")</f>
        <v>https://www.fabsurplus.com/sdi_catalog/salesItemDetails.do?id=98716</v>
      </c>
      <c r="B872" s="6" t="s">
        <v>2086</v>
      </c>
      <c r="C872" s="6" t="s">
        <v>2083</v>
      </c>
      <c r="D872" s="6" t="s">
        <v>2087</v>
      </c>
      <c r="E872" s="6" t="s">
        <v>2085</v>
      </c>
      <c r="F872" s="6" t="s">
        <v>16</v>
      </c>
      <c r="G872" s="6" t="s">
        <v>417</v>
      </c>
      <c r="H872" s="6" t="s">
        <v>18</v>
      </c>
      <c r="I872" s="7" t="n">
        <v>39600</v>
      </c>
      <c r="J872" s="6" t="s">
        <v>19</v>
      </c>
      <c r="K872" s="6"/>
    </row>
    <row r="873" customFormat="false" ht="12.8" hidden="false" customHeight="false" outlineLevel="0" collapsed="false">
      <c r="A873" s="8" t="str">
        <f aca="false">HYPERLINK("https://www.fabsurplus.com/sdi_catalog/salesItemDetails.do?id=98717")</f>
        <v>https://www.fabsurplus.com/sdi_catalog/salesItemDetails.do?id=98717</v>
      </c>
      <c r="B873" s="8" t="s">
        <v>2088</v>
      </c>
      <c r="C873" s="8" t="s">
        <v>2083</v>
      </c>
      <c r="D873" s="8" t="s">
        <v>2089</v>
      </c>
      <c r="E873" s="8" t="s">
        <v>2085</v>
      </c>
      <c r="F873" s="8" t="s">
        <v>16</v>
      </c>
      <c r="G873" s="8" t="s">
        <v>417</v>
      </c>
      <c r="H873" s="8" t="s">
        <v>18</v>
      </c>
      <c r="I873" s="9" t="n">
        <v>39600</v>
      </c>
      <c r="J873" s="8" t="s">
        <v>19</v>
      </c>
      <c r="K873" s="8" t="s">
        <v>20</v>
      </c>
    </row>
    <row r="874" customFormat="false" ht="12.8" hidden="false" customHeight="false" outlineLevel="0" collapsed="false">
      <c r="A874" s="6" t="str">
        <f aca="false">HYPERLINK("https://www.fabsurplus.com/sdi_catalog/salesItemDetails.do?id=100364")</f>
        <v>https://www.fabsurplus.com/sdi_catalog/salesItemDetails.do?id=100364</v>
      </c>
      <c r="B874" s="6" t="s">
        <v>2090</v>
      </c>
      <c r="C874" s="6" t="s">
        <v>2091</v>
      </c>
      <c r="D874" s="6" t="s">
        <v>2092</v>
      </c>
      <c r="E874" s="6" t="s">
        <v>2093</v>
      </c>
      <c r="F874" s="6" t="s">
        <v>611</v>
      </c>
      <c r="G874" s="6"/>
      <c r="H874" s="6" t="s">
        <v>2094</v>
      </c>
      <c r="I874" s="7" t="n">
        <v>40695</v>
      </c>
      <c r="J874" s="6" t="s">
        <v>19</v>
      </c>
      <c r="K874" s="6"/>
    </row>
    <row r="875" customFormat="false" ht="12.8" hidden="false" customHeight="false" outlineLevel="0" collapsed="false">
      <c r="A875" s="6" t="str">
        <f aca="false">HYPERLINK("https://www.fabsurplus.com/sdi_catalog/salesItemDetails.do?id=100360")</f>
        <v>https://www.fabsurplus.com/sdi_catalog/salesItemDetails.do?id=100360</v>
      </c>
      <c r="B875" s="6" t="s">
        <v>2095</v>
      </c>
      <c r="C875" s="6" t="s">
        <v>2091</v>
      </c>
      <c r="D875" s="6" t="s">
        <v>2096</v>
      </c>
      <c r="E875" s="6" t="s">
        <v>2097</v>
      </c>
      <c r="F875" s="6" t="s">
        <v>611</v>
      </c>
      <c r="G875" s="6"/>
      <c r="H875" s="6" t="s">
        <v>18</v>
      </c>
      <c r="I875" s="6"/>
      <c r="J875" s="6" t="s">
        <v>19</v>
      </c>
      <c r="K875" s="6"/>
    </row>
    <row r="876" customFormat="false" ht="12.8" hidden="false" customHeight="false" outlineLevel="0" collapsed="false">
      <c r="A876" s="8" t="str">
        <f aca="false">HYPERLINK("https://www.fabsurplus.com/sdi_catalog/salesItemDetails.do?id=100363")</f>
        <v>https://www.fabsurplus.com/sdi_catalog/salesItemDetails.do?id=100363</v>
      </c>
      <c r="B876" s="8" t="s">
        <v>2098</v>
      </c>
      <c r="C876" s="8" t="s">
        <v>2091</v>
      </c>
      <c r="D876" s="8" t="s">
        <v>2099</v>
      </c>
      <c r="E876" s="8" t="s">
        <v>2100</v>
      </c>
      <c r="F876" s="8" t="s">
        <v>16</v>
      </c>
      <c r="G876" s="8"/>
      <c r="H876" s="8" t="s">
        <v>18</v>
      </c>
      <c r="I876" s="8"/>
      <c r="J876" s="8" t="s">
        <v>19</v>
      </c>
      <c r="K876" s="8"/>
    </row>
    <row r="877" customFormat="false" ht="12.8" hidden="false" customHeight="false" outlineLevel="0" collapsed="false">
      <c r="A877" s="8" t="str">
        <f aca="false">HYPERLINK("https://www.fabsurplus.com/sdi_catalog/salesItemDetails.do?id=98718")</f>
        <v>https://www.fabsurplus.com/sdi_catalog/salesItemDetails.do?id=98718</v>
      </c>
      <c r="B877" s="8" t="s">
        <v>2101</v>
      </c>
      <c r="C877" s="8" t="s">
        <v>2102</v>
      </c>
      <c r="D877" s="8" t="s">
        <v>2103</v>
      </c>
      <c r="E877" s="8" t="s">
        <v>2104</v>
      </c>
      <c r="F877" s="8" t="s">
        <v>16</v>
      </c>
      <c r="G877" s="8" t="s">
        <v>417</v>
      </c>
      <c r="H877" s="8" t="s">
        <v>115</v>
      </c>
      <c r="I877" s="9" t="n">
        <v>39600</v>
      </c>
      <c r="J877" s="8" t="s">
        <v>19</v>
      </c>
      <c r="K877" s="8" t="s">
        <v>20</v>
      </c>
    </row>
    <row r="878" customFormat="false" ht="12.8" hidden="false" customHeight="false" outlineLevel="0" collapsed="false">
      <c r="A878" s="8" t="str">
        <f aca="false">HYPERLINK("https://www.fabsurplus.com/sdi_catalog/salesItemDetails.do?id=98378")</f>
        <v>https://www.fabsurplus.com/sdi_catalog/salesItemDetails.do?id=98378</v>
      </c>
      <c r="B878" s="8" t="s">
        <v>2105</v>
      </c>
      <c r="C878" s="8" t="s">
        <v>2106</v>
      </c>
      <c r="D878" s="8" t="s">
        <v>2107</v>
      </c>
      <c r="E878" s="8" t="s">
        <v>2108</v>
      </c>
      <c r="F878" s="8" t="s">
        <v>611</v>
      </c>
      <c r="G878" s="8" t="s">
        <v>372</v>
      </c>
      <c r="H878" s="8"/>
      <c r="I878" s="8"/>
      <c r="J878" s="8" t="s">
        <v>19</v>
      </c>
      <c r="K878" s="8"/>
    </row>
    <row r="879" customFormat="false" ht="12.8" hidden="false" customHeight="false" outlineLevel="0" collapsed="false">
      <c r="A879" s="8" t="str">
        <f aca="false">HYPERLINK("https://www.fabsurplus.com/sdi_catalog/salesItemDetails.do?id=99405")</f>
        <v>https://www.fabsurplus.com/sdi_catalog/salesItemDetails.do?id=99405</v>
      </c>
      <c r="B879" s="8" t="s">
        <v>2109</v>
      </c>
      <c r="C879" s="8" t="s">
        <v>2110</v>
      </c>
      <c r="D879" s="8" t="s">
        <v>2111</v>
      </c>
      <c r="E879" s="8" t="s">
        <v>2112</v>
      </c>
      <c r="F879" s="8" t="s">
        <v>611</v>
      </c>
      <c r="G879" s="8" t="s">
        <v>2113</v>
      </c>
      <c r="H879" s="8" t="s">
        <v>33</v>
      </c>
      <c r="I879" s="8"/>
      <c r="J879" s="8" t="s">
        <v>19</v>
      </c>
      <c r="K879" s="8" t="s">
        <v>20</v>
      </c>
    </row>
    <row r="880" customFormat="false" ht="12.8" hidden="false" customHeight="false" outlineLevel="0" collapsed="false">
      <c r="A880" s="6" t="str">
        <f aca="false">HYPERLINK("https://www.fabsurplus.com/sdi_catalog/salesItemDetails.do?id=99406")</f>
        <v>https://www.fabsurplus.com/sdi_catalog/salesItemDetails.do?id=99406</v>
      </c>
      <c r="B880" s="6" t="s">
        <v>2114</v>
      </c>
      <c r="C880" s="6" t="s">
        <v>2110</v>
      </c>
      <c r="D880" s="6" t="s">
        <v>2115</v>
      </c>
      <c r="E880" s="6" t="s">
        <v>2116</v>
      </c>
      <c r="F880" s="6" t="s">
        <v>16</v>
      </c>
      <c r="G880" s="6" t="s">
        <v>2117</v>
      </c>
      <c r="H880" s="6" t="s">
        <v>33</v>
      </c>
      <c r="I880" s="7" t="n">
        <v>35582</v>
      </c>
      <c r="J880" s="6" t="s">
        <v>19</v>
      </c>
      <c r="K880" s="6" t="s">
        <v>20</v>
      </c>
    </row>
    <row r="881" customFormat="false" ht="12.8" hidden="false" customHeight="false" outlineLevel="0" collapsed="false">
      <c r="A881" s="6" t="str">
        <f aca="false">HYPERLINK("https://www.fabsurplus.com/sdi_catalog/salesItemDetails.do?id=99408")</f>
        <v>https://www.fabsurplus.com/sdi_catalog/salesItemDetails.do?id=99408</v>
      </c>
      <c r="B881" s="6" t="s">
        <v>2118</v>
      </c>
      <c r="C881" s="6" t="s">
        <v>2110</v>
      </c>
      <c r="D881" s="6" t="s">
        <v>2119</v>
      </c>
      <c r="E881" s="6" t="s">
        <v>2120</v>
      </c>
      <c r="F881" s="6" t="s">
        <v>16</v>
      </c>
      <c r="G881" s="6" t="s">
        <v>2113</v>
      </c>
      <c r="H881" s="6" t="s">
        <v>33</v>
      </c>
      <c r="I881" s="7" t="n">
        <v>34851</v>
      </c>
      <c r="J881" s="6" t="s">
        <v>19</v>
      </c>
      <c r="K881" s="6" t="s">
        <v>20</v>
      </c>
    </row>
    <row r="882" customFormat="false" ht="12.8" hidden="false" customHeight="false" outlineLevel="0" collapsed="false">
      <c r="A882" s="8" t="str">
        <f aca="false">HYPERLINK("https://www.fabsurplus.com/sdi_catalog/salesItemDetails.do?id=99409")</f>
        <v>https://www.fabsurplus.com/sdi_catalog/salesItemDetails.do?id=99409</v>
      </c>
      <c r="B882" s="8" t="s">
        <v>2121</v>
      </c>
      <c r="C882" s="8" t="s">
        <v>2110</v>
      </c>
      <c r="D882" s="8" t="s">
        <v>2122</v>
      </c>
      <c r="E882" s="8" t="s">
        <v>2123</v>
      </c>
      <c r="F882" s="8" t="s">
        <v>16</v>
      </c>
      <c r="G882" s="8" t="s">
        <v>2124</v>
      </c>
      <c r="H882" s="8" t="s">
        <v>33</v>
      </c>
      <c r="I882" s="8"/>
      <c r="J882" s="8" t="s">
        <v>19</v>
      </c>
      <c r="K882" s="8" t="s">
        <v>20</v>
      </c>
    </row>
    <row r="883" customFormat="false" ht="12.8" hidden="false" customHeight="false" outlineLevel="0" collapsed="false">
      <c r="A883" s="8" t="str">
        <f aca="false">HYPERLINK("https://www.fabsurplus.com/sdi_catalog/salesItemDetails.do?id=99407")</f>
        <v>https://www.fabsurplus.com/sdi_catalog/salesItemDetails.do?id=99407</v>
      </c>
      <c r="B883" s="8" t="s">
        <v>2125</v>
      </c>
      <c r="C883" s="8" t="s">
        <v>2110</v>
      </c>
      <c r="D883" s="8" t="s">
        <v>2126</v>
      </c>
      <c r="E883" s="8" t="s">
        <v>2127</v>
      </c>
      <c r="F883" s="8" t="s">
        <v>16</v>
      </c>
      <c r="G883" s="8" t="s">
        <v>2124</v>
      </c>
      <c r="H883" s="8" t="s">
        <v>33</v>
      </c>
      <c r="I883" s="9" t="n">
        <v>38139</v>
      </c>
      <c r="J883" s="8" t="s">
        <v>19</v>
      </c>
      <c r="K883" s="8" t="s">
        <v>20</v>
      </c>
    </row>
    <row r="884" customFormat="false" ht="12.8" hidden="false" customHeight="false" outlineLevel="0" collapsed="false">
      <c r="A884" s="6" t="str">
        <f aca="false">HYPERLINK("https://www.fabsurplus.com/sdi_catalog/salesItemDetails.do?id=97995")</f>
        <v>https://www.fabsurplus.com/sdi_catalog/salesItemDetails.do?id=97995</v>
      </c>
      <c r="B884" s="6" t="s">
        <v>2128</v>
      </c>
      <c r="C884" s="6" t="s">
        <v>2129</v>
      </c>
      <c r="D884" s="6" t="s">
        <v>2130</v>
      </c>
      <c r="E884" s="6" t="s">
        <v>2131</v>
      </c>
      <c r="F884" s="6" t="s">
        <v>16</v>
      </c>
      <c r="G884" s="6" t="s">
        <v>2132</v>
      </c>
      <c r="H884" s="6"/>
      <c r="I884" s="6"/>
      <c r="J884" s="6" t="s">
        <v>19</v>
      </c>
      <c r="K884" s="6"/>
    </row>
    <row r="885" customFormat="false" ht="12.8" hidden="false" customHeight="false" outlineLevel="0" collapsed="false">
      <c r="A885" s="8" t="str">
        <f aca="false">HYPERLINK("https://www.fabsurplus.com/sdi_catalog/salesItemDetails.do?id=97461")</f>
        <v>https://www.fabsurplus.com/sdi_catalog/salesItemDetails.do?id=97461</v>
      </c>
      <c r="B885" s="8" t="s">
        <v>2133</v>
      </c>
      <c r="C885" s="8" t="s">
        <v>2129</v>
      </c>
      <c r="D885" s="8" t="s">
        <v>2134</v>
      </c>
      <c r="E885" s="8" t="s">
        <v>2135</v>
      </c>
      <c r="F885" s="8" t="s">
        <v>16</v>
      </c>
      <c r="G885" s="8" t="s">
        <v>32</v>
      </c>
      <c r="H885" s="8"/>
      <c r="I885" s="8"/>
      <c r="J885" s="8" t="s">
        <v>19</v>
      </c>
      <c r="K885" s="8"/>
    </row>
    <row r="886" customFormat="false" ht="12.8" hidden="false" customHeight="false" outlineLevel="0" collapsed="false">
      <c r="A886" s="6" t="str">
        <f aca="false">HYPERLINK("https://www.fabsurplus.com/sdi_catalog/salesItemDetails.do?id=100629")</f>
        <v>https://www.fabsurplus.com/sdi_catalog/salesItemDetails.do?id=100629</v>
      </c>
      <c r="B886" s="6" t="s">
        <v>2136</v>
      </c>
      <c r="C886" s="6" t="s">
        <v>2137</v>
      </c>
      <c r="D886" s="6" t="s">
        <v>2138</v>
      </c>
      <c r="E886" s="6" t="s">
        <v>2139</v>
      </c>
      <c r="F886" s="6" t="s">
        <v>16</v>
      </c>
      <c r="G886" s="6" t="s">
        <v>328</v>
      </c>
      <c r="H886" s="6"/>
      <c r="I886" s="6"/>
      <c r="J886" s="6" t="s">
        <v>19</v>
      </c>
      <c r="K886" s="6"/>
    </row>
    <row r="887" customFormat="false" ht="12.8" hidden="false" customHeight="false" outlineLevel="0" collapsed="false">
      <c r="A887" s="8" t="str">
        <f aca="false">HYPERLINK("https://www.fabsurplus.com/sdi_catalog/salesItemDetails.do?id=99549")</f>
        <v>https://www.fabsurplus.com/sdi_catalog/salesItemDetails.do?id=99549</v>
      </c>
      <c r="B887" s="8" t="s">
        <v>2140</v>
      </c>
      <c r="C887" s="8" t="s">
        <v>2141</v>
      </c>
      <c r="D887" s="8" t="s">
        <v>2142</v>
      </c>
      <c r="E887" s="8" t="s">
        <v>2143</v>
      </c>
      <c r="F887" s="8" t="s">
        <v>16</v>
      </c>
      <c r="G887" s="8" t="s">
        <v>2144</v>
      </c>
      <c r="H887" s="8" t="s">
        <v>18</v>
      </c>
      <c r="I887" s="8"/>
      <c r="J887" s="8" t="s">
        <v>81</v>
      </c>
      <c r="K887" s="8"/>
    </row>
    <row r="888" customFormat="false" ht="12.8" hidden="false" customHeight="false" outlineLevel="0" collapsed="false">
      <c r="A888" s="6" t="str">
        <f aca="false">HYPERLINK("https://www.fabsurplus.com/sdi_catalog/salesItemDetails.do?id=98719")</f>
        <v>https://www.fabsurplus.com/sdi_catalog/salesItemDetails.do?id=98719</v>
      </c>
      <c r="B888" s="6" t="s">
        <v>2145</v>
      </c>
      <c r="C888" s="6" t="s">
        <v>2146</v>
      </c>
      <c r="D888" s="6" t="s">
        <v>2147</v>
      </c>
      <c r="E888" s="6" t="s">
        <v>429</v>
      </c>
      <c r="F888" s="6" t="s">
        <v>16</v>
      </c>
      <c r="G888" s="6" t="s">
        <v>417</v>
      </c>
      <c r="H888" s="6" t="s">
        <v>18</v>
      </c>
      <c r="I888" s="7" t="n">
        <v>39600</v>
      </c>
      <c r="J888" s="6" t="s">
        <v>19</v>
      </c>
      <c r="K888" s="6" t="s">
        <v>20</v>
      </c>
    </row>
    <row r="889" customFormat="false" ht="12.8" hidden="false" customHeight="false" outlineLevel="0" collapsed="false">
      <c r="A889" s="8" t="str">
        <f aca="false">HYPERLINK("https://www.fabsurplus.com/sdi_catalog/salesItemDetails.do?id=99933")</f>
        <v>https://www.fabsurplus.com/sdi_catalog/salesItemDetails.do?id=99933</v>
      </c>
      <c r="B889" s="8" t="s">
        <v>2148</v>
      </c>
      <c r="C889" s="8" t="s">
        <v>2149</v>
      </c>
      <c r="D889" s="8" t="s">
        <v>2150</v>
      </c>
      <c r="E889" s="8" t="s">
        <v>2151</v>
      </c>
      <c r="F889" s="8" t="s">
        <v>16</v>
      </c>
      <c r="G889" s="8" t="s">
        <v>47</v>
      </c>
      <c r="H889" s="8"/>
      <c r="I889" s="8"/>
      <c r="J889" s="8" t="s">
        <v>19</v>
      </c>
      <c r="K889" s="8"/>
    </row>
    <row r="890" customFormat="false" ht="12.8" hidden="false" customHeight="false" outlineLevel="0" collapsed="false">
      <c r="A890" s="6" t="str">
        <f aca="false">HYPERLINK("https://www.fabsurplus.com/sdi_catalog/salesItemDetails.do?id=99932")</f>
        <v>https://www.fabsurplus.com/sdi_catalog/salesItemDetails.do?id=99932</v>
      </c>
      <c r="B890" s="6" t="s">
        <v>2152</v>
      </c>
      <c r="C890" s="6" t="s">
        <v>2149</v>
      </c>
      <c r="D890" s="6" t="s">
        <v>2150</v>
      </c>
      <c r="E890" s="6" t="s">
        <v>2153</v>
      </c>
      <c r="F890" s="6" t="s">
        <v>16</v>
      </c>
      <c r="G890" s="6" t="s">
        <v>47</v>
      </c>
      <c r="H890" s="6"/>
      <c r="I890" s="6"/>
      <c r="J890" s="6" t="s">
        <v>19</v>
      </c>
      <c r="K890" s="6"/>
    </row>
    <row r="891" customFormat="false" ht="12.8" hidden="false" customHeight="false" outlineLevel="0" collapsed="false">
      <c r="A891" s="6" t="str">
        <f aca="false">HYPERLINK("https://www.fabsurplus.com/sdi_catalog/salesItemDetails.do?id=99934")</f>
        <v>https://www.fabsurplus.com/sdi_catalog/salesItemDetails.do?id=99934</v>
      </c>
      <c r="B891" s="6" t="s">
        <v>2154</v>
      </c>
      <c r="C891" s="6" t="s">
        <v>2149</v>
      </c>
      <c r="D891" s="6" t="s">
        <v>2155</v>
      </c>
      <c r="E891" s="6" t="s">
        <v>2156</v>
      </c>
      <c r="F891" s="6" t="s">
        <v>16</v>
      </c>
      <c r="G891" s="6" t="s">
        <v>47</v>
      </c>
      <c r="H891" s="6"/>
      <c r="I891" s="6"/>
      <c r="J891" s="6" t="s">
        <v>19</v>
      </c>
      <c r="K891" s="6"/>
    </row>
    <row r="892" customFormat="false" ht="12.8" hidden="false" customHeight="false" outlineLevel="0" collapsed="false">
      <c r="A892" s="8" t="str">
        <f aca="false">HYPERLINK("https://www.fabsurplus.com/sdi_catalog/salesItemDetails.do?id=99935")</f>
        <v>https://www.fabsurplus.com/sdi_catalog/salesItemDetails.do?id=99935</v>
      </c>
      <c r="B892" s="8" t="s">
        <v>2157</v>
      </c>
      <c r="C892" s="8" t="s">
        <v>2149</v>
      </c>
      <c r="D892" s="8" t="s">
        <v>2158</v>
      </c>
      <c r="E892" s="8" t="s">
        <v>2159</v>
      </c>
      <c r="F892" s="8" t="s">
        <v>16</v>
      </c>
      <c r="G892" s="8" t="s">
        <v>47</v>
      </c>
      <c r="H892" s="8"/>
      <c r="I892" s="8"/>
      <c r="J892" s="8" t="s">
        <v>19</v>
      </c>
      <c r="K892" s="8"/>
    </row>
    <row r="893" customFormat="false" ht="12.8" hidden="false" customHeight="false" outlineLevel="0" collapsed="false">
      <c r="A893" s="6" t="str">
        <f aca="false">HYPERLINK("https://www.fabsurplus.com/sdi_catalog/salesItemDetails.do?id=99936")</f>
        <v>https://www.fabsurplus.com/sdi_catalog/salesItemDetails.do?id=99936</v>
      </c>
      <c r="B893" s="6" t="s">
        <v>2160</v>
      </c>
      <c r="C893" s="6" t="s">
        <v>2149</v>
      </c>
      <c r="D893" s="6" t="s">
        <v>2161</v>
      </c>
      <c r="E893" s="6" t="s">
        <v>2162</v>
      </c>
      <c r="F893" s="6" t="s">
        <v>16</v>
      </c>
      <c r="G893" s="6" t="s">
        <v>47</v>
      </c>
      <c r="H893" s="6"/>
      <c r="I893" s="6"/>
      <c r="J893" s="6" t="s">
        <v>19</v>
      </c>
      <c r="K893" s="6"/>
    </row>
    <row r="894" customFormat="false" ht="12.8" hidden="false" customHeight="false" outlineLevel="0" collapsed="false">
      <c r="A894" s="8" t="str">
        <f aca="false">HYPERLINK("https://www.fabsurplus.com/sdi_catalog/salesItemDetails.do?id=99931")</f>
        <v>https://www.fabsurplus.com/sdi_catalog/salesItemDetails.do?id=99931</v>
      </c>
      <c r="B894" s="8" t="s">
        <v>2163</v>
      </c>
      <c r="C894" s="8" t="s">
        <v>2149</v>
      </c>
      <c r="D894" s="8" t="s">
        <v>2164</v>
      </c>
      <c r="E894" s="8" t="s">
        <v>2156</v>
      </c>
      <c r="F894" s="8" t="s">
        <v>16</v>
      </c>
      <c r="G894" s="8" t="s">
        <v>47</v>
      </c>
      <c r="H894" s="8"/>
      <c r="I894" s="8"/>
      <c r="J894" s="8" t="s">
        <v>19</v>
      </c>
      <c r="K894" s="8"/>
    </row>
    <row r="895" customFormat="false" ht="12.8" hidden="false" customHeight="false" outlineLevel="0" collapsed="false">
      <c r="A895" s="6" t="str">
        <f aca="false">HYPERLINK("https://www.fabsurplus.com/sdi_catalog/salesItemDetails.do?id=98451")</f>
        <v>https://www.fabsurplus.com/sdi_catalog/salesItemDetails.do?id=98451</v>
      </c>
      <c r="B895" s="6" t="s">
        <v>2165</v>
      </c>
      <c r="C895" s="6" t="s">
        <v>2166</v>
      </c>
      <c r="D895" s="6" t="s">
        <v>2167</v>
      </c>
      <c r="E895" s="6" t="s">
        <v>2168</v>
      </c>
      <c r="F895" s="6" t="s">
        <v>611</v>
      </c>
      <c r="G895" s="6" t="s">
        <v>2169</v>
      </c>
      <c r="H895" s="6" t="s">
        <v>33</v>
      </c>
      <c r="I895" s="7" t="n">
        <v>38078</v>
      </c>
      <c r="J895" s="6" t="s">
        <v>19</v>
      </c>
      <c r="K895" s="6" t="s">
        <v>20</v>
      </c>
    </row>
    <row r="896" customFormat="false" ht="12.8" hidden="false" customHeight="false" outlineLevel="0" collapsed="false">
      <c r="A896" s="6" t="str">
        <f aca="false">HYPERLINK("https://www.fabsurplus.com/sdi_catalog/salesItemDetails.do?id=98449")</f>
        <v>https://www.fabsurplus.com/sdi_catalog/salesItemDetails.do?id=98449</v>
      </c>
      <c r="B896" s="6" t="s">
        <v>2170</v>
      </c>
      <c r="C896" s="6" t="s">
        <v>2171</v>
      </c>
      <c r="D896" s="6" t="s">
        <v>2172</v>
      </c>
      <c r="E896" s="6" t="s">
        <v>2168</v>
      </c>
      <c r="F896" s="6" t="s">
        <v>211</v>
      </c>
      <c r="G896" s="6" t="s">
        <v>2169</v>
      </c>
      <c r="H896" s="6"/>
      <c r="I896" s="6"/>
      <c r="J896" s="6" t="s">
        <v>19</v>
      </c>
      <c r="K896" s="6"/>
    </row>
    <row r="897" customFormat="false" ht="12.8" hidden="false" customHeight="false" outlineLevel="0" collapsed="false">
      <c r="A897" s="8" t="str">
        <f aca="false">HYPERLINK("https://www.fabsurplus.com/sdi_catalog/salesItemDetails.do?id=98450")</f>
        <v>https://www.fabsurplus.com/sdi_catalog/salesItemDetails.do?id=98450</v>
      </c>
      <c r="B897" s="8" t="s">
        <v>2173</v>
      </c>
      <c r="C897" s="8" t="s">
        <v>2171</v>
      </c>
      <c r="D897" s="8" t="s">
        <v>2174</v>
      </c>
      <c r="E897" s="8" t="s">
        <v>2168</v>
      </c>
      <c r="F897" s="8" t="s">
        <v>611</v>
      </c>
      <c r="G897" s="8" t="s">
        <v>2169</v>
      </c>
      <c r="H897" s="8"/>
      <c r="I897" s="8"/>
      <c r="J897" s="8" t="s">
        <v>19</v>
      </c>
      <c r="K897" s="8"/>
    </row>
    <row r="898" customFormat="false" ht="12.8" hidden="false" customHeight="false" outlineLevel="0" collapsed="false">
      <c r="A898" s="6" t="str">
        <f aca="false">HYPERLINK("https://www.fabsurplus.com/sdi_catalog/salesItemDetails.do?id=98452")</f>
        <v>https://www.fabsurplus.com/sdi_catalog/salesItemDetails.do?id=98452</v>
      </c>
      <c r="B898" s="6" t="s">
        <v>2175</v>
      </c>
      <c r="C898" s="6" t="s">
        <v>2171</v>
      </c>
      <c r="D898" s="6" t="s">
        <v>2176</v>
      </c>
      <c r="E898" s="6" t="s">
        <v>2168</v>
      </c>
      <c r="F898" s="6" t="s">
        <v>611</v>
      </c>
      <c r="G898" s="6" t="s">
        <v>2169</v>
      </c>
      <c r="H898" s="6"/>
      <c r="I898" s="6"/>
      <c r="J898" s="6" t="s">
        <v>19</v>
      </c>
      <c r="K898" s="6"/>
    </row>
    <row r="899" customFormat="false" ht="12.8" hidden="false" customHeight="false" outlineLevel="0" collapsed="false">
      <c r="A899" s="8" t="str">
        <f aca="false">HYPERLINK("https://www.fabsurplus.com/sdi_catalog/salesItemDetails.do?id=98453")</f>
        <v>https://www.fabsurplus.com/sdi_catalog/salesItemDetails.do?id=98453</v>
      </c>
      <c r="B899" s="8" t="s">
        <v>2177</v>
      </c>
      <c r="C899" s="8" t="s">
        <v>2171</v>
      </c>
      <c r="D899" s="8" t="s">
        <v>2178</v>
      </c>
      <c r="E899" s="8" t="s">
        <v>2179</v>
      </c>
      <c r="F899" s="8" t="s">
        <v>611</v>
      </c>
      <c r="G899" s="8" t="s">
        <v>2169</v>
      </c>
      <c r="H899" s="8"/>
      <c r="I899" s="8"/>
      <c r="J899" s="8" t="s">
        <v>19</v>
      </c>
      <c r="K899" s="8"/>
    </row>
    <row r="900" customFormat="false" ht="12.8" hidden="false" customHeight="false" outlineLevel="0" collapsed="false">
      <c r="A900" s="6" t="str">
        <f aca="false">HYPERLINK("https://www.fabsurplus.com/sdi_catalog/salesItemDetails.do?id=98454")</f>
        <v>https://www.fabsurplus.com/sdi_catalog/salesItemDetails.do?id=98454</v>
      </c>
      <c r="B900" s="6" t="s">
        <v>2180</v>
      </c>
      <c r="C900" s="6" t="s">
        <v>2171</v>
      </c>
      <c r="D900" s="6" t="s">
        <v>2181</v>
      </c>
      <c r="E900" s="6" t="s">
        <v>2179</v>
      </c>
      <c r="F900" s="6" t="s">
        <v>16</v>
      </c>
      <c r="G900" s="6" t="s">
        <v>2169</v>
      </c>
      <c r="H900" s="6"/>
      <c r="I900" s="6"/>
      <c r="J900" s="6" t="s">
        <v>19</v>
      </c>
      <c r="K900" s="6"/>
    </row>
    <row r="901" customFormat="false" ht="12.8" hidden="false" customHeight="false" outlineLevel="0" collapsed="false">
      <c r="A901" s="8" t="str">
        <f aca="false">HYPERLINK("https://www.fabsurplus.com/sdi_catalog/salesItemDetails.do?id=98455")</f>
        <v>https://www.fabsurplus.com/sdi_catalog/salesItemDetails.do?id=98455</v>
      </c>
      <c r="B901" s="8" t="s">
        <v>2182</v>
      </c>
      <c r="C901" s="8" t="s">
        <v>2171</v>
      </c>
      <c r="D901" s="8" t="s">
        <v>2183</v>
      </c>
      <c r="E901" s="8" t="s">
        <v>2184</v>
      </c>
      <c r="F901" s="8" t="s">
        <v>611</v>
      </c>
      <c r="G901" s="8" t="s">
        <v>2169</v>
      </c>
      <c r="H901" s="8"/>
      <c r="I901" s="8"/>
      <c r="J901" s="8" t="s">
        <v>19</v>
      </c>
      <c r="K901" s="8"/>
    </row>
    <row r="902" customFormat="false" ht="12.8" hidden="false" customHeight="false" outlineLevel="0" collapsed="false">
      <c r="A902" s="6" t="str">
        <f aca="false">HYPERLINK("https://www.fabsurplus.com/sdi_catalog/salesItemDetails.do?id=98456")</f>
        <v>https://www.fabsurplus.com/sdi_catalog/salesItemDetails.do?id=98456</v>
      </c>
      <c r="B902" s="6" t="s">
        <v>2185</v>
      </c>
      <c r="C902" s="6" t="s">
        <v>2171</v>
      </c>
      <c r="D902" s="6" t="s">
        <v>2186</v>
      </c>
      <c r="E902" s="6" t="s">
        <v>2187</v>
      </c>
      <c r="F902" s="6" t="s">
        <v>16</v>
      </c>
      <c r="G902" s="6" t="s">
        <v>686</v>
      </c>
      <c r="H902" s="6"/>
      <c r="I902" s="6"/>
      <c r="J902" s="6" t="s">
        <v>19</v>
      </c>
      <c r="K902" s="6"/>
    </row>
    <row r="903" customFormat="false" ht="12.8" hidden="false" customHeight="false" outlineLevel="0" collapsed="false">
      <c r="A903" s="8" t="str">
        <f aca="false">HYPERLINK("https://www.fabsurplus.com/sdi_catalog/salesItemDetails.do?id=98457")</f>
        <v>https://www.fabsurplus.com/sdi_catalog/salesItemDetails.do?id=98457</v>
      </c>
      <c r="B903" s="8" t="s">
        <v>2188</v>
      </c>
      <c r="C903" s="8" t="s">
        <v>2171</v>
      </c>
      <c r="D903" s="8" t="s">
        <v>2189</v>
      </c>
      <c r="E903" s="8" t="s">
        <v>2190</v>
      </c>
      <c r="F903" s="8" t="s">
        <v>211</v>
      </c>
      <c r="G903" s="8" t="s">
        <v>697</v>
      </c>
      <c r="H903" s="8"/>
      <c r="I903" s="8"/>
      <c r="J903" s="8" t="s">
        <v>19</v>
      </c>
      <c r="K903" s="8"/>
    </row>
    <row r="904" customFormat="false" ht="12.8" hidden="false" customHeight="false" outlineLevel="0" collapsed="false">
      <c r="A904" s="6" t="str">
        <f aca="false">HYPERLINK("https://www.fabsurplus.com/sdi_catalog/salesItemDetails.do?id=98458")</f>
        <v>https://www.fabsurplus.com/sdi_catalog/salesItemDetails.do?id=98458</v>
      </c>
      <c r="B904" s="6" t="s">
        <v>2191</v>
      </c>
      <c r="C904" s="6" t="s">
        <v>2171</v>
      </c>
      <c r="D904" s="6" t="s">
        <v>2192</v>
      </c>
      <c r="E904" s="6" t="s">
        <v>2190</v>
      </c>
      <c r="F904" s="6" t="s">
        <v>742</v>
      </c>
      <c r="G904" s="6" t="s">
        <v>686</v>
      </c>
      <c r="H904" s="6"/>
      <c r="I904" s="6"/>
      <c r="J904" s="6" t="s">
        <v>19</v>
      </c>
      <c r="K904" s="6"/>
    </row>
    <row r="905" customFormat="false" ht="12.8" hidden="false" customHeight="false" outlineLevel="0" collapsed="false">
      <c r="A905" s="6" t="str">
        <f aca="false">HYPERLINK("https://www.fabsurplus.com/sdi_catalog/salesItemDetails.do?id=98855")</f>
        <v>https://www.fabsurplus.com/sdi_catalog/salesItemDetails.do?id=98855</v>
      </c>
      <c r="B905" s="6" t="s">
        <v>2193</v>
      </c>
      <c r="C905" s="6" t="s">
        <v>2194</v>
      </c>
      <c r="D905" s="6" t="s">
        <v>2195</v>
      </c>
      <c r="E905" s="6" t="s">
        <v>2196</v>
      </c>
      <c r="F905" s="6" t="s">
        <v>16</v>
      </c>
      <c r="G905" s="6" t="s">
        <v>162</v>
      </c>
      <c r="H905" s="6" t="s">
        <v>311</v>
      </c>
      <c r="I905" s="6"/>
      <c r="J905" s="6" t="s">
        <v>81</v>
      </c>
      <c r="K905" s="6"/>
    </row>
    <row r="906" customFormat="false" ht="12.8" hidden="false" customHeight="false" outlineLevel="0" collapsed="false">
      <c r="A906" s="8" t="str">
        <f aca="false">HYPERLINK("https://www.fabsurplus.com/sdi_catalog/salesItemDetails.do?id=98851")</f>
        <v>https://www.fabsurplus.com/sdi_catalog/salesItemDetails.do?id=98851</v>
      </c>
      <c r="B906" s="8" t="s">
        <v>2197</v>
      </c>
      <c r="C906" s="8" t="s">
        <v>2194</v>
      </c>
      <c r="D906" s="8" t="s">
        <v>2198</v>
      </c>
      <c r="E906" s="8" t="s">
        <v>2199</v>
      </c>
      <c r="F906" s="8" t="s">
        <v>16</v>
      </c>
      <c r="G906" s="8" t="s">
        <v>2200</v>
      </c>
      <c r="H906" s="8" t="s">
        <v>33</v>
      </c>
      <c r="I906" s="9" t="n">
        <v>40664</v>
      </c>
      <c r="J906" s="8" t="s">
        <v>19</v>
      </c>
      <c r="K906" s="8" t="s">
        <v>20</v>
      </c>
    </row>
    <row r="907" customFormat="false" ht="12.8" hidden="false" customHeight="false" outlineLevel="0" collapsed="false">
      <c r="A907" s="8" t="str">
        <f aca="false">HYPERLINK("https://www.fabsurplus.com/sdi_catalog/salesItemDetails.do?id=97850")</f>
        <v>https://www.fabsurplus.com/sdi_catalog/salesItemDetails.do?id=97850</v>
      </c>
      <c r="B907" s="8" t="s">
        <v>2201</v>
      </c>
      <c r="C907" s="8" t="s">
        <v>2194</v>
      </c>
      <c r="D907" s="8" t="s">
        <v>2202</v>
      </c>
      <c r="E907" s="8" t="s">
        <v>2203</v>
      </c>
      <c r="F907" s="8" t="s">
        <v>16</v>
      </c>
      <c r="G907" s="8"/>
      <c r="H907" s="8"/>
      <c r="I907" s="8"/>
      <c r="J907" s="8" t="s">
        <v>19</v>
      </c>
      <c r="K907" s="8"/>
    </row>
    <row r="908" customFormat="false" ht="12.8" hidden="false" customHeight="false" outlineLevel="0" collapsed="false">
      <c r="A908" s="6" t="str">
        <f aca="false">HYPERLINK("https://www.fabsurplus.com/sdi_catalog/salesItemDetails.do?id=98379")</f>
        <v>https://www.fabsurplus.com/sdi_catalog/salesItemDetails.do?id=98379</v>
      </c>
      <c r="B908" s="6" t="s">
        <v>2204</v>
      </c>
      <c r="C908" s="6" t="s">
        <v>2205</v>
      </c>
      <c r="D908" s="6" t="s">
        <v>2206</v>
      </c>
      <c r="E908" s="6" t="s">
        <v>2207</v>
      </c>
      <c r="F908" s="6" t="s">
        <v>16</v>
      </c>
      <c r="G908" s="6" t="s">
        <v>2208</v>
      </c>
      <c r="H908" s="6"/>
      <c r="I908" s="6"/>
      <c r="J908" s="6" t="s">
        <v>19</v>
      </c>
      <c r="K908" s="6"/>
    </row>
    <row r="909" customFormat="false" ht="12.8" hidden="false" customHeight="false" outlineLevel="0" collapsed="false">
      <c r="A909" s="8" t="str">
        <f aca="false">HYPERLINK("https://www.fabsurplus.com/sdi_catalog/salesItemDetails.do?id=100630")</f>
        <v>https://www.fabsurplus.com/sdi_catalog/salesItemDetails.do?id=100630</v>
      </c>
      <c r="B909" s="8" t="s">
        <v>2209</v>
      </c>
      <c r="C909" s="8" t="s">
        <v>2210</v>
      </c>
      <c r="D909" s="8" t="s">
        <v>2211</v>
      </c>
      <c r="E909" s="8" t="s">
        <v>2212</v>
      </c>
      <c r="F909" s="8" t="s">
        <v>611</v>
      </c>
      <c r="G909" s="8" t="s">
        <v>434</v>
      </c>
      <c r="H909" s="8"/>
      <c r="I909" s="8"/>
      <c r="J909" s="8" t="s">
        <v>19</v>
      </c>
      <c r="K909" s="8"/>
    </row>
    <row r="910" customFormat="false" ht="12.8" hidden="false" customHeight="false" outlineLevel="0" collapsed="false">
      <c r="A910" s="6" t="str">
        <f aca="false">HYPERLINK("https://www.fabsurplus.com/sdi_catalog/salesItemDetails.do?id=100631")</f>
        <v>https://www.fabsurplus.com/sdi_catalog/salesItemDetails.do?id=100631</v>
      </c>
      <c r="B910" s="6" t="s">
        <v>2213</v>
      </c>
      <c r="C910" s="6" t="s">
        <v>2210</v>
      </c>
      <c r="D910" s="6" t="s">
        <v>2214</v>
      </c>
      <c r="E910" s="6" t="s">
        <v>2212</v>
      </c>
      <c r="F910" s="6" t="s">
        <v>611</v>
      </c>
      <c r="G910" s="6" t="s">
        <v>434</v>
      </c>
      <c r="H910" s="6"/>
      <c r="I910" s="6"/>
      <c r="J910" s="6" t="s">
        <v>19</v>
      </c>
      <c r="K910" s="6"/>
    </row>
    <row r="911" customFormat="false" ht="12.8" hidden="false" customHeight="false" outlineLevel="0" collapsed="false">
      <c r="A911" s="6" t="str">
        <f aca="false">HYPERLINK("https://www.fabsurplus.com/sdi_catalog/salesItemDetails.do?id=98786")</f>
        <v>https://www.fabsurplus.com/sdi_catalog/salesItemDetails.do?id=98786</v>
      </c>
      <c r="B911" s="6" t="s">
        <v>2215</v>
      </c>
      <c r="C911" s="6" t="s">
        <v>2216</v>
      </c>
      <c r="D911" s="6" t="s">
        <v>2217</v>
      </c>
      <c r="E911" s="6" t="s">
        <v>2218</v>
      </c>
      <c r="F911" s="6" t="s">
        <v>16</v>
      </c>
      <c r="G911" s="6" t="s">
        <v>434</v>
      </c>
      <c r="H911" s="6"/>
      <c r="I911" s="7" t="n">
        <v>41365</v>
      </c>
      <c r="J911" s="6" t="s">
        <v>19</v>
      </c>
      <c r="K911" s="6"/>
    </row>
    <row r="912" customFormat="false" ht="12.8" hidden="false" customHeight="false" outlineLevel="0" collapsed="false">
      <c r="A912" s="8" t="str">
        <f aca="false">HYPERLINK("https://www.fabsurplus.com/sdi_catalog/salesItemDetails.do?id=100108")</f>
        <v>https://www.fabsurplus.com/sdi_catalog/salesItemDetails.do?id=100108</v>
      </c>
      <c r="B912" s="8" t="s">
        <v>2219</v>
      </c>
      <c r="C912" s="8" t="s">
        <v>2220</v>
      </c>
      <c r="D912" s="8" t="s">
        <v>2221</v>
      </c>
      <c r="E912" s="8" t="s">
        <v>2222</v>
      </c>
      <c r="F912" s="8" t="s">
        <v>16</v>
      </c>
      <c r="G912" s="8" t="s">
        <v>697</v>
      </c>
      <c r="H912" s="8" t="s">
        <v>33</v>
      </c>
      <c r="I912" s="9" t="n">
        <v>41061</v>
      </c>
      <c r="J912" s="8" t="s">
        <v>19</v>
      </c>
      <c r="K912" s="8" t="s">
        <v>20</v>
      </c>
    </row>
    <row r="913" customFormat="false" ht="12.8" hidden="false" customHeight="false" outlineLevel="0" collapsed="false">
      <c r="A913" s="6" t="str">
        <f aca="false">HYPERLINK("https://www.fabsurplus.com/sdi_catalog/salesItemDetails.do?id=96843")</f>
        <v>https://www.fabsurplus.com/sdi_catalog/salesItemDetails.do?id=96843</v>
      </c>
      <c r="B913" s="6" t="s">
        <v>2223</v>
      </c>
      <c r="C913" s="6" t="s">
        <v>2224</v>
      </c>
      <c r="D913" s="6" t="s">
        <v>2225</v>
      </c>
      <c r="E913" s="6" t="s">
        <v>2226</v>
      </c>
      <c r="F913" s="6" t="s">
        <v>16</v>
      </c>
      <c r="G913" s="6" t="s">
        <v>310</v>
      </c>
      <c r="H913" s="6"/>
      <c r="I913" s="6"/>
      <c r="J913" s="6" t="s">
        <v>19</v>
      </c>
      <c r="K913" s="6"/>
    </row>
    <row r="914" customFormat="false" ht="12.8" hidden="false" customHeight="false" outlineLevel="0" collapsed="false">
      <c r="A914" s="6" t="str">
        <f aca="false">HYPERLINK("https://www.fabsurplus.com/sdi_catalog/salesItemDetails.do?id=98505")</f>
        <v>https://www.fabsurplus.com/sdi_catalog/salesItemDetails.do?id=98505</v>
      </c>
      <c r="B914" s="6" t="s">
        <v>2227</v>
      </c>
      <c r="C914" s="6" t="s">
        <v>141</v>
      </c>
      <c r="D914" s="6" t="s">
        <v>2228</v>
      </c>
      <c r="E914" s="6" t="s">
        <v>2229</v>
      </c>
      <c r="F914" s="6" t="s">
        <v>16</v>
      </c>
      <c r="G914" s="6" t="s">
        <v>32</v>
      </c>
      <c r="H914" s="6"/>
      <c r="I914" s="6"/>
      <c r="J914" s="6" t="s">
        <v>19</v>
      </c>
      <c r="K914" s="6"/>
    </row>
    <row r="915" customFormat="false" ht="12.8" hidden="false" customHeight="false" outlineLevel="0" collapsed="false">
      <c r="A915" s="8" t="str">
        <f aca="false">HYPERLINK("https://www.fabsurplus.com/sdi_catalog/salesItemDetails.do?id=98504")</f>
        <v>https://www.fabsurplus.com/sdi_catalog/salesItemDetails.do?id=98504</v>
      </c>
      <c r="B915" s="8" t="s">
        <v>2230</v>
      </c>
      <c r="C915" s="8" t="s">
        <v>141</v>
      </c>
      <c r="D915" s="8" t="s">
        <v>2228</v>
      </c>
      <c r="E915" s="8" t="s">
        <v>2229</v>
      </c>
      <c r="F915" s="8" t="s">
        <v>16</v>
      </c>
      <c r="G915" s="8" t="s">
        <v>32</v>
      </c>
      <c r="H915" s="8"/>
      <c r="I915" s="8"/>
      <c r="J915" s="8" t="s">
        <v>19</v>
      </c>
      <c r="K915" s="8"/>
    </row>
    <row r="916" customFormat="false" ht="12.8" hidden="false" customHeight="false" outlineLevel="0" collapsed="false">
      <c r="A916" s="6" t="str">
        <f aca="false">HYPERLINK("https://www.fabsurplus.com/sdi_catalog/salesItemDetails.do?id=98503")</f>
        <v>https://www.fabsurplus.com/sdi_catalog/salesItemDetails.do?id=98503</v>
      </c>
      <c r="B916" s="6" t="s">
        <v>2231</v>
      </c>
      <c r="C916" s="6" t="s">
        <v>141</v>
      </c>
      <c r="D916" s="6" t="s">
        <v>2228</v>
      </c>
      <c r="E916" s="6" t="s">
        <v>2229</v>
      </c>
      <c r="F916" s="6" t="s">
        <v>16</v>
      </c>
      <c r="G916" s="6" t="s">
        <v>32</v>
      </c>
      <c r="H916" s="6"/>
      <c r="I916" s="6"/>
      <c r="J916" s="6" t="s">
        <v>19</v>
      </c>
      <c r="K916" s="6"/>
    </row>
    <row r="917" customFormat="false" ht="12.8" hidden="false" customHeight="false" outlineLevel="0" collapsed="false">
      <c r="A917" s="8" t="str">
        <f aca="false">HYPERLINK("https://www.fabsurplus.com/sdi_catalog/salesItemDetails.do?id=98502")</f>
        <v>https://www.fabsurplus.com/sdi_catalog/salesItemDetails.do?id=98502</v>
      </c>
      <c r="B917" s="8" t="s">
        <v>2232</v>
      </c>
      <c r="C917" s="8" t="s">
        <v>141</v>
      </c>
      <c r="D917" s="8" t="s">
        <v>2228</v>
      </c>
      <c r="E917" s="8" t="s">
        <v>2229</v>
      </c>
      <c r="F917" s="8" t="s">
        <v>16</v>
      </c>
      <c r="G917" s="8" t="s">
        <v>32</v>
      </c>
      <c r="H917" s="8"/>
      <c r="I917" s="8"/>
      <c r="J917" s="8" t="s">
        <v>19</v>
      </c>
      <c r="K917" s="8"/>
    </row>
    <row r="918" customFormat="false" ht="12.8" hidden="false" customHeight="false" outlineLevel="0" collapsed="false">
      <c r="A918" s="8" t="str">
        <f aca="false">HYPERLINK("https://www.fabsurplus.com/sdi_catalog/salesItemDetails.do?id=100632")</f>
        <v>https://www.fabsurplus.com/sdi_catalog/salesItemDetails.do?id=100632</v>
      </c>
      <c r="B918" s="8" t="s">
        <v>2233</v>
      </c>
      <c r="C918" s="8" t="s">
        <v>141</v>
      </c>
      <c r="D918" s="8" t="s">
        <v>2234</v>
      </c>
      <c r="E918" s="8" t="s">
        <v>1856</v>
      </c>
      <c r="F918" s="8" t="s">
        <v>16</v>
      </c>
      <c r="G918" s="8" t="s">
        <v>328</v>
      </c>
      <c r="H918" s="8"/>
      <c r="I918" s="8"/>
      <c r="J918" s="8" t="s">
        <v>19</v>
      </c>
      <c r="K918" s="8"/>
    </row>
    <row r="919" customFormat="false" ht="12.8" hidden="false" customHeight="false" outlineLevel="0" collapsed="false">
      <c r="A919" s="6" t="str">
        <f aca="false">HYPERLINK("https://www.fabsurplus.com/sdi_catalog/salesItemDetails.do?id=98703")</f>
        <v>https://www.fabsurplus.com/sdi_catalog/salesItemDetails.do?id=98703</v>
      </c>
      <c r="B919" s="6" t="s">
        <v>2235</v>
      </c>
      <c r="C919" s="6" t="s">
        <v>141</v>
      </c>
      <c r="D919" s="6" t="s">
        <v>2236</v>
      </c>
      <c r="E919" s="6" t="s">
        <v>2237</v>
      </c>
      <c r="F919" s="6" t="s">
        <v>16</v>
      </c>
      <c r="G919" s="6" t="s">
        <v>47</v>
      </c>
      <c r="H919" s="6" t="s">
        <v>18</v>
      </c>
      <c r="I919" s="6"/>
      <c r="J919" s="6" t="s">
        <v>19</v>
      </c>
      <c r="K919" s="6" t="s">
        <v>20</v>
      </c>
    </row>
    <row r="920" customFormat="false" ht="12.8" hidden="false" customHeight="false" outlineLevel="0" collapsed="false">
      <c r="A920" s="8" t="str">
        <f aca="false">HYPERLINK("https://www.fabsurplus.com/sdi_catalog/salesItemDetails.do?id=97454")</f>
        <v>https://www.fabsurplus.com/sdi_catalog/salesItemDetails.do?id=97454</v>
      </c>
      <c r="B920" s="8" t="s">
        <v>2238</v>
      </c>
      <c r="C920" s="8" t="s">
        <v>141</v>
      </c>
      <c r="D920" s="8" t="s">
        <v>2239</v>
      </c>
      <c r="E920" s="8" t="s">
        <v>2240</v>
      </c>
      <c r="F920" s="8" t="s">
        <v>611</v>
      </c>
      <c r="G920" s="8" t="s">
        <v>100</v>
      </c>
      <c r="H920" s="8" t="s">
        <v>18</v>
      </c>
      <c r="I920" s="9" t="n">
        <v>35886</v>
      </c>
      <c r="J920" s="8" t="s">
        <v>19</v>
      </c>
      <c r="K920" s="8" t="s">
        <v>20</v>
      </c>
    </row>
    <row r="921" customFormat="false" ht="12.8" hidden="false" customHeight="false" outlineLevel="0" collapsed="false">
      <c r="A921" s="6" t="str">
        <f aca="false">HYPERLINK("https://www.fabsurplus.com/sdi_catalog/salesItemDetails.do?id=97052")</f>
        <v>https://www.fabsurplus.com/sdi_catalog/salesItemDetails.do?id=97052</v>
      </c>
      <c r="B921" s="6" t="s">
        <v>2241</v>
      </c>
      <c r="C921" s="6" t="s">
        <v>141</v>
      </c>
      <c r="D921" s="6" t="s">
        <v>2242</v>
      </c>
      <c r="E921" s="6" t="s">
        <v>2243</v>
      </c>
      <c r="F921" s="6" t="s">
        <v>16</v>
      </c>
      <c r="G921" s="6"/>
      <c r="H921" s="6" t="s">
        <v>18</v>
      </c>
      <c r="I921" s="6"/>
      <c r="J921" s="6"/>
      <c r="K921" s="6" t="s">
        <v>20</v>
      </c>
    </row>
    <row r="922" customFormat="false" ht="12.8" hidden="false" customHeight="false" outlineLevel="0" collapsed="false">
      <c r="A922" s="8" t="str">
        <f aca="false">HYPERLINK("https://www.fabsurplus.com/sdi_catalog/salesItemDetails.do?id=99883")</f>
        <v>https://www.fabsurplus.com/sdi_catalog/salesItemDetails.do?id=99883</v>
      </c>
      <c r="B922" s="8" t="s">
        <v>2244</v>
      </c>
      <c r="C922" s="8" t="s">
        <v>141</v>
      </c>
      <c r="D922" s="8" t="s">
        <v>2245</v>
      </c>
      <c r="E922" s="8" t="s">
        <v>526</v>
      </c>
      <c r="F922" s="8" t="s">
        <v>16</v>
      </c>
      <c r="G922" s="8" t="s">
        <v>310</v>
      </c>
      <c r="H922" s="8" t="s">
        <v>167</v>
      </c>
      <c r="I922" s="8"/>
      <c r="J922" s="8" t="s">
        <v>81</v>
      </c>
      <c r="K922" s="8" t="s">
        <v>20</v>
      </c>
    </row>
    <row r="923" customFormat="false" ht="12.8" hidden="false" customHeight="false" outlineLevel="0" collapsed="false">
      <c r="A923" s="8" t="str">
        <f aca="false">HYPERLINK("https://www.fabsurplus.com/sdi_catalog/salesItemDetails.do?id=99884")</f>
        <v>https://www.fabsurplus.com/sdi_catalog/salesItemDetails.do?id=99884</v>
      </c>
      <c r="B923" s="8" t="s">
        <v>2246</v>
      </c>
      <c r="C923" s="8" t="s">
        <v>141</v>
      </c>
      <c r="D923" s="8" t="s">
        <v>2247</v>
      </c>
      <c r="E923" s="8" t="s">
        <v>526</v>
      </c>
      <c r="F923" s="8" t="s">
        <v>16</v>
      </c>
      <c r="G923" s="8" t="s">
        <v>310</v>
      </c>
      <c r="H923" s="8" t="s">
        <v>167</v>
      </c>
      <c r="I923" s="8"/>
      <c r="J923" s="8" t="s">
        <v>81</v>
      </c>
      <c r="K923" s="8" t="s">
        <v>20</v>
      </c>
    </row>
    <row r="924" customFormat="false" ht="12.8" hidden="false" customHeight="false" outlineLevel="0" collapsed="false">
      <c r="A924" s="6" t="str">
        <f aca="false">HYPERLINK("https://www.fabsurplus.com/sdi_catalog/salesItemDetails.do?id=98100")</f>
        <v>https://www.fabsurplus.com/sdi_catalog/salesItemDetails.do?id=98100</v>
      </c>
      <c r="B924" s="6" t="s">
        <v>2248</v>
      </c>
      <c r="C924" s="6" t="s">
        <v>141</v>
      </c>
      <c r="D924" s="6" t="s">
        <v>2249</v>
      </c>
      <c r="E924" s="6" t="s">
        <v>2250</v>
      </c>
      <c r="F924" s="6" t="s">
        <v>16</v>
      </c>
      <c r="G924" s="6" t="s">
        <v>310</v>
      </c>
      <c r="H924" s="6"/>
      <c r="I924" s="7" t="n">
        <v>37043</v>
      </c>
      <c r="J924" s="6" t="s">
        <v>19</v>
      </c>
      <c r="K924" s="6"/>
    </row>
    <row r="925" customFormat="false" ht="12.8" hidden="false" customHeight="false" outlineLevel="0" collapsed="false">
      <c r="A925" s="8" t="str">
        <f aca="false">HYPERLINK("https://www.fabsurplus.com/sdi_catalog/salesItemDetails.do?id=98099")</f>
        <v>https://www.fabsurplus.com/sdi_catalog/salesItemDetails.do?id=98099</v>
      </c>
      <c r="B925" s="8" t="s">
        <v>2251</v>
      </c>
      <c r="C925" s="8" t="s">
        <v>141</v>
      </c>
      <c r="D925" s="8" t="s">
        <v>2249</v>
      </c>
      <c r="E925" s="8" t="s">
        <v>2250</v>
      </c>
      <c r="F925" s="8" t="s">
        <v>16</v>
      </c>
      <c r="G925" s="8" t="s">
        <v>310</v>
      </c>
      <c r="H925" s="8"/>
      <c r="I925" s="9" t="n">
        <v>37043</v>
      </c>
      <c r="J925" s="8" t="s">
        <v>19</v>
      </c>
      <c r="K925" s="8"/>
    </row>
    <row r="926" customFormat="false" ht="12.8" hidden="false" customHeight="false" outlineLevel="0" collapsed="false">
      <c r="A926" s="6" t="str">
        <f aca="false">HYPERLINK("https://www.fabsurplus.com/sdi_catalog/salesItemDetails.do?id=98098")</f>
        <v>https://www.fabsurplus.com/sdi_catalog/salesItemDetails.do?id=98098</v>
      </c>
      <c r="B926" s="6" t="s">
        <v>2252</v>
      </c>
      <c r="C926" s="6" t="s">
        <v>141</v>
      </c>
      <c r="D926" s="6" t="s">
        <v>2249</v>
      </c>
      <c r="E926" s="6" t="s">
        <v>2250</v>
      </c>
      <c r="F926" s="6" t="s">
        <v>16</v>
      </c>
      <c r="G926" s="6" t="s">
        <v>310</v>
      </c>
      <c r="H926" s="6"/>
      <c r="I926" s="7" t="n">
        <v>37043</v>
      </c>
      <c r="J926" s="6" t="s">
        <v>19</v>
      </c>
      <c r="K926" s="6"/>
    </row>
    <row r="927" customFormat="false" ht="12.8" hidden="false" customHeight="false" outlineLevel="0" collapsed="false">
      <c r="A927" s="6" t="str">
        <f aca="false">HYPERLINK("https://www.fabsurplus.com/sdi_catalog/salesItemDetails.do?id=98097")</f>
        <v>https://www.fabsurplus.com/sdi_catalog/salesItemDetails.do?id=98097</v>
      </c>
      <c r="B927" s="6" t="s">
        <v>2253</v>
      </c>
      <c r="C927" s="6" t="s">
        <v>141</v>
      </c>
      <c r="D927" s="6" t="s">
        <v>2249</v>
      </c>
      <c r="E927" s="6" t="s">
        <v>2250</v>
      </c>
      <c r="F927" s="6" t="s">
        <v>16</v>
      </c>
      <c r="G927" s="6" t="s">
        <v>310</v>
      </c>
      <c r="H927" s="6"/>
      <c r="I927" s="7" t="n">
        <v>37043</v>
      </c>
      <c r="J927" s="6" t="s">
        <v>19</v>
      </c>
      <c r="K927" s="6"/>
    </row>
    <row r="928" customFormat="false" ht="12.8" hidden="false" customHeight="false" outlineLevel="0" collapsed="false">
      <c r="A928" s="8" t="str">
        <f aca="false">HYPERLINK("https://www.fabsurplus.com/sdi_catalog/salesItemDetails.do?id=98101")</f>
        <v>https://www.fabsurplus.com/sdi_catalog/salesItemDetails.do?id=98101</v>
      </c>
      <c r="B928" s="8" t="s">
        <v>2254</v>
      </c>
      <c r="C928" s="8" t="s">
        <v>141</v>
      </c>
      <c r="D928" s="8" t="s">
        <v>2255</v>
      </c>
      <c r="E928" s="8" t="s">
        <v>2250</v>
      </c>
      <c r="F928" s="8" t="s">
        <v>16</v>
      </c>
      <c r="G928" s="8" t="s">
        <v>310</v>
      </c>
      <c r="H928" s="8"/>
      <c r="I928" s="9" t="n">
        <v>38504</v>
      </c>
      <c r="J928" s="8" t="s">
        <v>19</v>
      </c>
      <c r="K928" s="8"/>
    </row>
    <row r="929" customFormat="false" ht="12.8" hidden="false" customHeight="false" outlineLevel="0" collapsed="false">
      <c r="A929" s="8" t="str">
        <f aca="false">HYPERLINK("https://www.fabsurplus.com/sdi_catalog/salesItemDetails.do?id=99848")</f>
        <v>https://www.fabsurplus.com/sdi_catalog/salesItemDetails.do?id=99848</v>
      </c>
      <c r="B929" s="8" t="s">
        <v>2256</v>
      </c>
      <c r="C929" s="8" t="s">
        <v>141</v>
      </c>
      <c r="D929" s="8" t="s">
        <v>2257</v>
      </c>
      <c r="E929" s="8" t="s">
        <v>2250</v>
      </c>
      <c r="F929" s="8" t="s">
        <v>16</v>
      </c>
      <c r="G929" s="8"/>
      <c r="H929" s="8"/>
      <c r="I929" s="8"/>
      <c r="J929" s="8" t="s">
        <v>81</v>
      </c>
      <c r="K929" s="8"/>
    </row>
    <row r="930" customFormat="false" ht="12.8" hidden="false" customHeight="false" outlineLevel="0" collapsed="false">
      <c r="A930" s="8" t="str">
        <f aca="false">HYPERLINK("https://www.fabsurplus.com/sdi_catalog/salesItemDetails.do?id=98102")</f>
        <v>https://www.fabsurplus.com/sdi_catalog/salesItemDetails.do?id=98102</v>
      </c>
      <c r="B930" s="8" t="s">
        <v>2258</v>
      </c>
      <c r="C930" s="8" t="s">
        <v>141</v>
      </c>
      <c r="D930" s="8" t="s">
        <v>2259</v>
      </c>
      <c r="E930" s="8" t="s">
        <v>2260</v>
      </c>
      <c r="F930" s="8" t="s">
        <v>16</v>
      </c>
      <c r="G930" s="8" t="s">
        <v>310</v>
      </c>
      <c r="H930" s="8"/>
      <c r="I930" s="9" t="n">
        <v>40330</v>
      </c>
      <c r="J930" s="8" t="s">
        <v>19</v>
      </c>
      <c r="K930" s="8"/>
    </row>
    <row r="931" customFormat="false" ht="12.8" hidden="false" customHeight="false" outlineLevel="0" collapsed="false">
      <c r="A931" s="8" t="str">
        <f aca="false">HYPERLINK("https://www.fabsurplus.com/sdi_catalog/salesItemDetails.do?id=97996")</f>
        <v>https://www.fabsurplus.com/sdi_catalog/salesItemDetails.do?id=97996</v>
      </c>
      <c r="B931" s="8" t="s">
        <v>2261</v>
      </c>
      <c r="C931" s="8" t="s">
        <v>2262</v>
      </c>
      <c r="D931" s="8" t="s">
        <v>2263</v>
      </c>
      <c r="E931" s="8" t="s">
        <v>2010</v>
      </c>
      <c r="F931" s="8" t="s">
        <v>245</v>
      </c>
      <c r="G931" s="8" t="s">
        <v>32</v>
      </c>
      <c r="H931" s="8"/>
      <c r="I931" s="9" t="n">
        <v>40695</v>
      </c>
      <c r="J931" s="8" t="s">
        <v>19</v>
      </c>
      <c r="K931" s="8"/>
    </row>
    <row r="932" customFormat="false" ht="12.8" hidden="false" customHeight="false" outlineLevel="0" collapsed="false">
      <c r="A932" s="6" t="str">
        <f aca="false">HYPERLINK("https://www.fabsurplus.com/sdi_catalog/salesItemDetails.do?id=100723")</f>
        <v>https://www.fabsurplus.com/sdi_catalog/salesItemDetails.do?id=100723</v>
      </c>
      <c r="B932" s="6" t="s">
        <v>2264</v>
      </c>
      <c r="C932" s="6" t="s">
        <v>141</v>
      </c>
      <c r="D932" s="6" t="s">
        <v>2265</v>
      </c>
      <c r="E932" s="6" t="s">
        <v>2266</v>
      </c>
      <c r="F932" s="6" t="s">
        <v>16</v>
      </c>
      <c r="G932" s="6"/>
      <c r="H932" s="6"/>
      <c r="I932" s="6"/>
      <c r="J932" s="6" t="s">
        <v>19</v>
      </c>
      <c r="K932" s="6"/>
    </row>
    <row r="933" customFormat="false" ht="12.8" hidden="false" customHeight="false" outlineLevel="0" collapsed="false">
      <c r="A933" s="8" t="str">
        <f aca="false">HYPERLINK("https://www.fabsurplus.com/sdi_catalog/salesItemDetails.do?id=100110")</f>
        <v>https://www.fabsurplus.com/sdi_catalog/salesItemDetails.do?id=100110</v>
      </c>
      <c r="B933" s="8" t="s">
        <v>2267</v>
      </c>
      <c r="C933" s="8" t="s">
        <v>141</v>
      </c>
      <c r="D933" s="8" t="s">
        <v>2268</v>
      </c>
      <c r="E933" s="8" t="s">
        <v>2050</v>
      </c>
      <c r="F933" s="8" t="s">
        <v>16</v>
      </c>
      <c r="G933" s="8" t="s">
        <v>686</v>
      </c>
      <c r="H933" s="8"/>
      <c r="I933" s="8"/>
      <c r="J933" s="8" t="s">
        <v>19</v>
      </c>
      <c r="K933" s="8"/>
    </row>
    <row r="934" customFormat="false" ht="12.8" hidden="false" customHeight="false" outlineLevel="0" collapsed="false">
      <c r="A934" s="6" t="str">
        <f aca="false">HYPERLINK("https://www.fabsurplus.com/sdi_catalog/salesItemDetails.do?id=100109")</f>
        <v>https://www.fabsurplus.com/sdi_catalog/salesItemDetails.do?id=100109</v>
      </c>
      <c r="B934" s="6" t="s">
        <v>2269</v>
      </c>
      <c r="C934" s="6" t="s">
        <v>141</v>
      </c>
      <c r="D934" s="6" t="s">
        <v>2268</v>
      </c>
      <c r="E934" s="6" t="s">
        <v>2050</v>
      </c>
      <c r="F934" s="6" t="s">
        <v>16</v>
      </c>
      <c r="G934" s="6" t="s">
        <v>686</v>
      </c>
      <c r="H934" s="6"/>
      <c r="I934" s="6"/>
      <c r="J934" s="6" t="s">
        <v>19</v>
      </c>
      <c r="K934" s="6"/>
    </row>
    <row r="935" customFormat="false" ht="12.8" hidden="false" customHeight="false" outlineLevel="0" collapsed="false">
      <c r="A935" s="6" t="str">
        <f aca="false">HYPERLINK("https://www.fabsurplus.com/sdi_catalog/salesItemDetails.do?id=96846")</f>
        <v>https://www.fabsurplus.com/sdi_catalog/salesItemDetails.do?id=96846</v>
      </c>
      <c r="B935" s="6" t="s">
        <v>2270</v>
      </c>
      <c r="C935" s="6" t="s">
        <v>141</v>
      </c>
      <c r="D935" s="6" t="s">
        <v>2268</v>
      </c>
      <c r="E935" s="6" t="s">
        <v>2050</v>
      </c>
      <c r="F935" s="6" t="s">
        <v>16</v>
      </c>
      <c r="G935" s="6" t="s">
        <v>310</v>
      </c>
      <c r="H935" s="6"/>
      <c r="I935" s="7" t="n">
        <v>41548</v>
      </c>
      <c r="J935" s="6" t="s">
        <v>19</v>
      </c>
      <c r="K935" s="6"/>
    </row>
    <row r="936" customFormat="false" ht="12.8" hidden="false" customHeight="false" outlineLevel="0" collapsed="false">
      <c r="A936" s="8" t="str">
        <f aca="false">HYPERLINK("https://www.fabsurplus.com/sdi_catalog/salesItemDetails.do?id=96845")</f>
        <v>https://www.fabsurplus.com/sdi_catalog/salesItemDetails.do?id=96845</v>
      </c>
      <c r="B936" s="8" t="s">
        <v>2271</v>
      </c>
      <c r="C936" s="8" t="s">
        <v>141</v>
      </c>
      <c r="D936" s="8" t="s">
        <v>2268</v>
      </c>
      <c r="E936" s="8" t="s">
        <v>2050</v>
      </c>
      <c r="F936" s="8" t="s">
        <v>16</v>
      </c>
      <c r="G936" s="8" t="s">
        <v>310</v>
      </c>
      <c r="H936" s="8"/>
      <c r="I936" s="9" t="n">
        <v>38108</v>
      </c>
      <c r="J936" s="8" t="s">
        <v>19</v>
      </c>
      <c r="K936" s="8"/>
    </row>
    <row r="937" customFormat="false" ht="12.8" hidden="false" customHeight="false" outlineLevel="0" collapsed="false">
      <c r="A937" s="6" t="str">
        <f aca="false">HYPERLINK("https://www.fabsurplus.com/sdi_catalog/salesItemDetails.do?id=96844")</f>
        <v>https://www.fabsurplus.com/sdi_catalog/salesItemDetails.do?id=96844</v>
      </c>
      <c r="B937" s="6" t="s">
        <v>2272</v>
      </c>
      <c r="C937" s="6" t="s">
        <v>141</v>
      </c>
      <c r="D937" s="6" t="s">
        <v>2268</v>
      </c>
      <c r="E937" s="6" t="s">
        <v>2050</v>
      </c>
      <c r="F937" s="6" t="s">
        <v>16</v>
      </c>
      <c r="G937" s="6" t="s">
        <v>310</v>
      </c>
      <c r="H937" s="6"/>
      <c r="I937" s="7" t="n">
        <v>38231</v>
      </c>
      <c r="J937" s="6" t="s">
        <v>19</v>
      </c>
      <c r="K937" s="6"/>
    </row>
    <row r="938" customFormat="false" ht="12.8" hidden="false" customHeight="false" outlineLevel="0" collapsed="false">
      <c r="A938" s="8" t="str">
        <f aca="false">HYPERLINK("https://www.fabsurplus.com/sdi_catalog/salesItemDetails.do?id=98267")</f>
        <v>https://www.fabsurplus.com/sdi_catalog/salesItemDetails.do?id=98267</v>
      </c>
      <c r="B938" s="8" t="s">
        <v>2273</v>
      </c>
      <c r="C938" s="8" t="s">
        <v>2274</v>
      </c>
      <c r="D938" s="8" t="s">
        <v>2275</v>
      </c>
      <c r="E938" s="8" t="s">
        <v>676</v>
      </c>
      <c r="F938" s="8" t="s">
        <v>16</v>
      </c>
      <c r="G938" s="8"/>
      <c r="H938" s="8"/>
      <c r="I938" s="8"/>
      <c r="J938" s="8" t="s">
        <v>19</v>
      </c>
      <c r="K938" s="8"/>
    </row>
    <row r="939" customFormat="false" ht="12.8" hidden="false" customHeight="false" outlineLevel="0" collapsed="false">
      <c r="A939" s="6" t="str">
        <f aca="false">HYPERLINK("https://www.fabsurplus.com/sdi_catalog/salesItemDetails.do?id=98231")</f>
        <v>https://www.fabsurplus.com/sdi_catalog/salesItemDetails.do?id=98231</v>
      </c>
      <c r="B939" s="6" t="s">
        <v>2276</v>
      </c>
      <c r="C939" s="6" t="s">
        <v>2277</v>
      </c>
      <c r="D939" s="6" t="s">
        <v>2278</v>
      </c>
      <c r="E939" s="6" t="s">
        <v>676</v>
      </c>
      <c r="F939" s="6" t="s">
        <v>16</v>
      </c>
      <c r="G939" s="6" t="s">
        <v>32</v>
      </c>
      <c r="H939" s="6" t="s">
        <v>18</v>
      </c>
      <c r="I939" s="6"/>
      <c r="J939" s="6" t="s">
        <v>81</v>
      </c>
      <c r="K939" s="6" t="s">
        <v>20</v>
      </c>
    </row>
    <row r="940" customFormat="false" ht="12.8" hidden="false" customHeight="false" outlineLevel="0" collapsed="false">
      <c r="A940" s="8" t="str">
        <f aca="false">HYPERLINK("https://www.fabsurplus.com/sdi_catalog/salesItemDetails.do?id=98232")</f>
        <v>https://www.fabsurplus.com/sdi_catalog/salesItemDetails.do?id=98232</v>
      </c>
      <c r="B940" s="8" t="s">
        <v>2279</v>
      </c>
      <c r="C940" s="8" t="s">
        <v>2277</v>
      </c>
      <c r="D940" s="8" t="s">
        <v>2280</v>
      </c>
      <c r="E940" s="8" t="s">
        <v>676</v>
      </c>
      <c r="F940" s="8" t="s">
        <v>16</v>
      </c>
      <c r="G940" s="8" t="s">
        <v>32</v>
      </c>
      <c r="H940" s="8" t="s">
        <v>18</v>
      </c>
      <c r="I940" s="8"/>
      <c r="J940" s="8" t="s">
        <v>81</v>
      </c>
      <c r="K940" s="8" t="s">
        <v>20</v>
      </c>
    </row>
    <row r="941" customFormat="false" ht="12.8" hidden="false" customHeight="false" outlineLevel="0" collapsed="false">
      <c r="A941" s="6" t="str">
        <f aca="false">HYPERLINK("https://www.fabsurplus.com/sdi_catalog/salesItemDetails.do?id=99002")</f>
        <v>https://www.fabsurplus.com/sdi_catalog/salesItemDetails.do?id=99002</v>
      </c>
      <c r="B941" s="6" t="s">
        <v>2281</v>
      </c>
      <c r="C941" s="6" t="s">
        <v>2274</v>
      </c>
      <c r="D941" s="6" t="s">
        <v>2282</v>
      </c>
      <c r="E941" s="6" t="s">
        <v>643</v>
      </c>
      <c r="F941" s="6" t="s">
        <v>16</v>
      </c>
      <c r="G941" s="6" t="s">
        <v>32</v>
      </c>
      <c r="H941" s="6"/>
      <c r="I941" s="6"/>
      <c r="J941" s="6" t="s">
        <v>19</v>
      </c>
      <c r="K941" s="6"/>
    </row>
    <row r="942" customFormat="false" ht="12.8" hidden="false" customHeight="false" outlineLevel="0" collapsed="false">
      <c r="A942" s="6" t="str">
        <f aca="false">HYPERLINK("https://www.fabsurplus.com/sdi_catalog/salesItemDetails.do?id=100724")</f>
        <v>https://www.fabsurplus.com/sdi_catalog/salesItemDetails.do?id=100724</v>
      </c>
      <c r="B942" s="6" t="s">
        <v>2283</v>
      </c>
      <c r="C942" s="6" t="s">
        <v>2284</v>
      </c>
      <c r="D942" s="6" t="s">
        <v>2285</v>
      </c>
      <c r="E942" s="6" t="s">
        <v>2286</v>
      </c>
      <c r="F942" s="6" t="s">
        <v>16</v>
      </c>
      <c r="G942" s="6"/>
      <c r="H942" s="6"/>
      <c r="I942" s="6"/>
      <c r="J942" s="6" t="s">
        <v>19</v>
      </c>
      <c r="K942" s="6"/>
    </row>
    <row r="943" customFormat="false" ht="12.8" hidden="false" customHeight="false" outlineLevel="0" collapsed="false">
      <c r="A943" s="8" t="str">
        <f aca="false">HYPERLINK("https://www.fabsurplus.com/sdi_catalog/salesItemDetails.do?id=98720")</f>
        <v>https://www.fabsurplus.com/sdi_catalog/salesItemDetails.do?id=98720</v>
      </c>
      <c r="B943" s="8" t="s">
        <v>2287</v>
      </c>
      <c r="C943" s="8" t="s">
        <v>155</v>
      </c>
      <c r="D943" s="8" t="s">
        <v>2288</v>
      </c>
      <c r="E943" s="8" t="s">
        <v>2289</v>
      </c>
      <c r="F943" s="8" t="s">
        <v>16</v>
      </c>
      <c r="G943" s="8" t="s">
        <v>417</v>
      </c>
      <c r="H943" s="8" t="s">
        <v>18</v>
      </c>
      <c r="I943" s="9" t="n">
        <v>39600</v>
      </c>
      <c r="J943" s="8" t="s">
        <v>19</v>
      </c>
      <c r="K943" s="8" t="s">
        <v>20</v>
      </c>
    </row>
    <row r="944" customFormat="false" ht="12.8" hidden="false" customHeight="false" outlineLevel="0" collapsed="false">
      <c r="A944" s="6" t="str">
        <f aca="false">HYPERLINK("https://www.fabsurplus.com/sdi_catalog/salesItemDetails.do?id=98721")</f>
        <v>https://www.fabsurplus.com/sdi_catalog/salesItemDetails.do?id=98721</v>
      </c>
      <c r="B944" s="6" t="s">
        <v>2290</v>
      </c>
      <c r="C944" s="6" t="s">
        <v>155</v>
      </c>
      <c r="D944" s="6" t="s">
        <v>2291</v>
      </c>
      <c r="E944" s="6" t="s">
        <v>2292</v>
      </c>
      <c r="F944" s="6" t="s">
        <v>16</v>
      </c>
      <c r="G944" s="6" t="s">
        <v>417</v>
      </c>
      <c r="H944" s="6" t="s">
        <v>115</v>
      </c>
      <c r="I944" s="7" t="n">
        <v>39600</v>
      </c>
      <c r="J944" s="6" t="s">
        <v>19</v>
      </c>
      <c r="K944" s="6" t="s">
        <v>20</v>
      </c>
    </row>
    <row r="945" customFormat="false" ht="12.8" hidden="false" customHeight="false" outlineLevel="0" collapsed="false">
      <c r="A945" s="8" t="str">
        <f aca="false">HYPERLINK("https://www.fabsurplus.com/sdi_catalog/salesItemDetails.do?id=98722")</f>
        <v>https://www.fabsurplus.com/sdi_catalog/salesItemDetails.do?id=98722</v>
      </c>
      <c r="B945" s="8" t="s">
        <v>2293</v>
      </c>
      <c r="C945" s="8" t="s">
        <v>155</v>
      </c>
      <c r="D945" s="8" t="s">
        <v>2294</v>
      </c>
      <c r="E945" s="8" t="s">
        <v>2292</v>
      </c>
      <c r="F945" s="8" t="s">
        <v>16</v>
      </c>
      <c r="G945" s="8" t="s">
        <v>417</v>
      </c>
      <c r="H945" s="8" t="s">
        <v>18</v>
      </c>
      <c r="I945" s="9" t="n">
        <v>39600</v>
      </c>
      <c r="J945" s="8" t="s">
        <v>19</v>
      </c>
      <c r="K945" s="8" t="s">
        <v>20</v>
      </c>
    </row>
    <row r="946" customFormat="false" ht="12.8" hidden="false" customHeight="false" outlineLevel="0" collapsed="false">
      <c r="A946" s="6" t="str">
        <f aca="false">HYPERLINK("https://www.fabsurplus.com/sdi_catalog/salesItemDetails.do?id=98723")</f>
        <v>https://www.fabsurplus.com/sdi_catalog/salesItemDetails.do?id=98723</v>
      </c>
      <c r="B946" s="6" t="s">
        <v>2295</v>
      </c>
      <c r="C946" s="6" t="s">
        <v>155</v>
      </c>
      <c r="D946" s="6" t="s">
        <v>2296</v>
      </c>
      <c r="E946" s="6" t="s">
        <v>2297</v>
      </c>
      <c r="F946" s="6" t="s">
        <v>16</v>
      </c>
      <c r="G946" s="6" t="s">
        <v>417</v>
      </c>
      <c r="H946" s="6" t="s">
        <v>18</v>
      </c>
      <c r="I946" s="7" t="n">
        <v>39600</v>
      </c>
      <c r="J946" s="6" t="s">
        <v>19</v>
      </c>
      <c r="K946" s="6" t="s">
        <v>20</v>
      </c>
    </row>
    <row r="947" customFormat="false" ht="12.8" hidden="false" customHeight="false" outlineLevel="0" collapsed="false">
      <c r="A947" s="8" t="str">
        <f aca="false">HYPERLINK("https://www.fabsurplus.com/sdi_catalog/salesItemDetails.do?id=98725")</f>
        <v>https://www.fabsurplus.com/sdi_catalog/salesItemDetails.do?id=98725</v>
      </c>
      <c r="B947" s="8" t="s">
        <v>2298</v>
      </c>
      <c r="C947" s="8" t="s">
        <v>155</v>
      </c>
      <c r="D947" s="8" t="s">
        <v>2299</v>
      </c>
      <c r="E947" s="8" t="s">
        <v>2300</v>
      </c>
      <c r="F947" s="8" t="s">
        <v>16</v>
      </c>
      <c r="G947" s="8" t="s">
        <v>417</v>
      </c>
      <c r="H947" s="8" t="s">
        <v>115</v>
      </c>
      <c r="I947" s="9" t="n">
        <v>39600</v>
      </c>
      <c r="J947" s="8" t="s">
        <v>19</v>
      </c>
      <c r="K947" s="8" t="s">
        <v>20</v>
      </c>
    </row>
    <row r="948" customFormat="false" ht="12.8" hidden="false" customHeight="false" outlineLevel="0" collapsed="false">
      <c r="A948" s="8" t="str">
        <f aca="false">HYPERLINK("https://www.fabsurplus.com/sdi_catalog/salesItemDetails.do?id=98906")</f>
        <v>https://www.fabsurplus.com/sdi_catalog/salesItemDetails.do?id=98906</v>
      </c>
      <c r="B948" s="8" t="s">
        <v>2301</v>
      </c>
      <c r="C948" s="8" t="s">
        <v>2302</v>
      </c>
      <c r="D948" s="8" t="s">
        <v>2303</v>
      </c>
      <c r="E948" s="8" t="s">
        <v>2304</v>
      </c>
      <c r="F948" s="8" t="s">
        <v>16</v>
      </c>
      <c r="G948" s="8"/>
      <c r="H948" s="8"/>
      <c r="I948" s="8"/>
      <c r="J948" s="8" t="s">
        <v>19</v>
      </c>
      <c r="K948" s="8"/>
    </row>
    <row r="949" customFormat="false" ht="12.8" hidden="false" customHeight="false" outlineLevel="0" collapsed="false">
      <c r="A949" s="6" t="str">
        <f aca="false">HYPERLINK("https://www.fabsurplus.com/sdi_catalog/salesItemDetails.do?id=100701")</f>
        <v>https://www.fabsurplus.com/sdi_catalog/salesItemDetails.do?id=100701</v>
      </c>
      <c r="B949" s="6" t="s">
        <v>2305</v>
      </c>
      <c r="C949" s="6" t="s">
        <v>2306</v>
      </c>
      <c r="D949" s="6" t="s">
        <v>2307</v>
      </c>
      <c r="E949" s="6" t="s">
        <v>2308</v>
      </c>
      <c r="F949" s="6" t="s">
        <v>16</v>
      </c>
      <c r="G949" s="6"/>
      <c r="H949" s="6"/>
      <c r="I949" s="7" t="n">
        <v>39965</v>
      </c>
      <c r="J949" s="6" t="s">
        <v>19</v>
      </c>
      <c r="K949" s="6"/>
    </row>
    <row r="950" customFormat="false" ht="12.8" hidden="false" customHeight="false" outlineLevel="0" collapsed="false">
      <c r="A950" s="6" t="str">
        <f aca="false">HYPERLINK("https://www.fabsurplus.com/sdi_catalog/salesItemDetails.do?id=99958")</f>
        <v>https://www.fabsurplus.com/sdi_catalog/salesItemDetails.do?id=99958</v>
      </c>
      <c r="B950" s="6" t="s">
        <v>2309</v>
      </c>
      <c r="C950" s="6" t="s">
        <v>2310</v>
      </c>
      <c r="D950" s="6" t="s">
        <v>2311</v>
      </c>
      <c r="E950" s="6" t="s">
        <v>2312</v>
      </c>
      <c r="F950" s="6" t="s">
        <v>16</v>
      </c>
      <c r="G950" s="6" t="s">
        <v>372</v>
      </c>
      <c r="H950" s="6" t="s">
        <v>18</v>
      </c>
      <c r="I950" s="7" t="n">
        <v>42156</v>
      </c>
      <c r="J950" s="6" t="s">
        <v>19</v>
      </c>
      <c r="K950" s="6" t="s">
        <v>20</v>
      </c>
    </row>
    <row r="951" customFormat="false" ht="12.8" hidden="false" customHeight="false" outlineLevel="0" collapsed="false">
      <c r="A951" s="8" t="str">
        <f aca="false">HYPERLINK("https://www.fabsurplus.com/sdi_catalog/salesItemDetails.do?id=100026")</f>
        <v>https://www.fabsurplus.com/sdi_catalog/salesItemDetails.do?id=100026</v>
      </c>
      <c r="B951" s="8" t="s">
        <v>2313</v>
      </c>
      <c r="C951" s="8" t="s">
        <v>624</v>
      </c>
      <c r="D951" s="8" t="s">
        <v>2314</v>
      </c>
      <c r="E951" s="8" t="s">
        <v>2315</v>
      </c>
      <c r="F951" s="8" t="s">
        <v>16</v>
      </c>
      <c r="G951" s="8" t="s">
        <v>434</v>
      </c>
      <c r="H951" s="8" t="s">
        <v>33</v>
      </c>
      <c r="I951" s="9" t="n">
        <v>40330</v>
      </c>
      <c r="J951" s="8" t="s">
        <v>19</v>
      </c>
      <c r="K951" s="8" t="s">
        <v>20</v>
      </c>
    </row>
    <row r="952" customFormat="false" ht="12.8" hidden="false" customHeight="false" outlineLevel="0" collapsed="false">
      <c r="A952" s="8" t="str">
        <f aca="false">HYPERLINK("https://www.fabsurplus.com/sdi_catalog/salesItemDetails.do?id=100021")</f>
        <v>https://www.fabsurplus.com/sdi_catalog/salesItemDetails.do?id=100021</v>
      </c>
      <c r="B952" s="8" t="s">
        <v>2316</v>
      </c>
      <c r="C952" s="8" t="s">
        <v>624</v>
      </c>
      <c r="D952" s="8" t="s">
        <v>2314</v>
      </c>
      <c r="E952" s="8" t="s">
        <v>2315</v>
      </c>
      <c r="F952" s="8" t="s">
        <v>16</v>
      </c>
      <c r="G952" s="8" t="s">
        <v>434</v>
      </c>
      <c r="H952" s="8" t="s">
        <v>33</v>
      </c>
      <c r="I952" s="9" t="n">
        <v>40330</v>
      </c>
      <c r="J952" s="8" t="s">
        <v>19</v>
      </c>
      <c r="K952" s="8" t="s">
        <v>20</v>
      </c>
    </row>
    <row r="953" customFormat="false" ht="12.8" hidden="false" customHeight="false" outlineLevel="0" collapsed="false">
      <c r="A953" s="8" t="str">
        <f aca="false">HYPERLINK("https://www.fabsurplus.com/sdi_catalog/salesItemDetails.do?id=100865")</f>
        <v>https://www.fabsurplus.com/sdi_catalog/salesItemDetails.do?id=100865</v>
      </c>
      <c r="B953" s="8" t="s">
        <v>2317</v>
      </c>
      <c r="C953" s="8" t="s">
        <v>624</v>
      </c>
      <c r="D953" s="8" t="s">
        <v>2318</v>
      </c>
      <c r="E953" s="8" t="s">
        <v>2319</v>
      </c>
      <c r="F953" s="8" t="s">
        <v>16</v>
      </c>
      <c r="G953" s="8" t="s">
        <v>417</v>
      </c>
      <c r="H953" s="8" t="s">
        <v>33</v>
      </c>
      <c r="I953" s="9" t="n">
        <v>42005</v>
      </c>
      <c r="J953" s="8" t="s">
        <v>19</v>
      </c>
      <c r="K953" s="8" t="s">
        <v>20</v>
      </c>
    </row>
    <row r="954" customFormat="false" ht="12.8" hidden="false" customHeight="false" outlineLevel="0" collapsed="false">
      <c r="A954" s="6" t="str">
        <f aca="false">HYPERLINK("https://www.fabsurplus.com/sdi_catalog/salesItemDetails.do?id=99395")</f>
        <v>https://www.fabsurplus.com/sdi_catalog/salesItemDetails.do?id=99395</v>
      </c>
      <c r="B954" s="6" t="s">
        <v>2320</v>
      </c>
      <c r="C954" s="6" t="s">
        <v>2321</v>
      </c>
      <c r="D954" s="6" t="s">
        <v>2322</v>
      </c>
      <c r="E954" s="6" t="s">
        <v>2323</v>
      </c>
      <c r="F954" s="6" t="s">
        <v>16</v>
      </c>
      <c r="G954" s="6"/>
      <c r="H954" s="6" t="s">
        <v>18</v>
      </c>
      <c r="I954" s="7" t="n">
        <v>34731</v>
      </c>
      <c r="J954" s="6" t="s">
        <v>19</v>
      </c>
      <c r="K954" s="6" t="s">
        <v>20</v>
      </c>
    </row>
    <row r="955" customFormat="false" ht="12.8" hidden="false" customHeight="false" outlineLevel="0" collapsed="false">
      <c r="A955" s="6" t="str">
        <f aca="false">HYPERLINK("https://www.fabsurplus.com/sdi_catalog/salesItemDetails.do?id=98787")</f>
        <v>https://www.fabsurplus.com/sdi_catalog/salesItemDetails.do?id=98787</v>
      </c>
      <c r="B955" s="6" t="s">
        <v>2324</v>
      </c>
      <c r="C955" s="6" t="s">
        <v>2325</v>
      </c>
      <c r="D955" s="6" t="s">
        <v>282</v>
      </c>
      <c r="E955" s="6" t="s">
        <v>2326</v>
      </c>
      <c r="F955" s="6" t="s">
        <v>16</v>
      </c>
      <c r="G955" s="6" t="s">
        <v>434</v>
      </c>
      <c r="H955" s="6"/>
      <c r="I955" s="6"/>
      <c r="J955" s="6" t="s">
        <v>19</v>
      </c>
      <c r="K955" s="6"/>
    </row>
    <row r="956" customFormat="false" ht="12.8" hidden="false" customHeight="false" outlineLevel="0" collapsed="false">
      <c r="A956" s="8" t="str">
        <f aca="false">HYPERLINK("https://www.fabsurplus.com/sdi_catalog/salesItemDetails.do?id=98788")</f>
        <v>https://www.fabsurplus.com/sdi_catalog/salesItemDetails.do?id=98788</v>
      </c>
      <c r="B956" s="8" t="s">
        <v>2327</v>
      </c>
      <c r="C956" s="8" t="s">
        <v>2328</v>
      </c>
      <c r="D956" s="8" t="s">
        <v>282</v>
      </c>
      <c r="E956" s="8" t="s">
        <v>2326</v>
      </c>
      <c r="F956" s="8" t="s">
        <v>16</v>
      </c>
      <c r="G956" s="8" t="s">
        <v>434</v>
      </c>
      <c r="H956" s="8"/>
      <c r="I956" s="8"/>
      <c r="J956" s="8" t="s">
        <v>19</v>
      </c>
      <c r="K956" s="8"/>
    </row>
    <row r="957" customFormat="false" ht="12.8" hidden="false" customHeight="false" outlineLevel="0" collapsed="false">
      <c r="A957" s="6" t="str">
        <f aca="false">HYPERLINK("https://www.fabsurplus.com/sdi_catalog/salesItemDetails.do?id=98789")</f>
        <v>https://www.fabsurplus.com/sdi_catalog/salesItemDetails.do?id=98789</v>
      </c>
      <c r="B957" s="6" t="s">
        <v>2329</v>
      </c>
      <c r="C957" s="6" t="s">
        <v>2330</v>
      </c>
      <c r="D957" s="6" t="s">
        <v>282</v>
      </c>
      <c r="E957" s="6" t="s">
        <v>2326</v>
      </c>
      <c r="F957" s="6" t="s">
        <v>16</v>
      </c>
      <c r="G957" s="6" t="s">
        <v>434</v>
      </c>
      <c r="H957" s="6"/>
      <c r="I957" s="6"/>
      <c r="J957" s="6" t="s">
        <v>19</v>
      </c>
      <c r="K957" s="6"/>
    </row>
    <row r="958" customFormat="false" ht="12.8" hidden="false" customHeight="false" outlineLevel="0" collapsed="false">
      <c r="A958" s="8" t="str">
        <f aca="false">HYPERLINK("https://www.fabsurplus.com/sdi_catalog/salesItemDetails.do?id=100725")</f>
        <v>https://www.fabsurplus.com/sdi_catalog/salesItemDetails.do?id=100725</v>
      </c>
      <c r="B958" s="8" t="s">
        <v>2331</v>
      </c>
      <c r="C958" s="8" t="s">
        <v>2332</v>
      </c>
      <c r="D958" s="8" t="s">
        <v>2333</v>
      </c>
      <c r="E958" s="8" t="s">
        <v>2334</v>
      </c>
      <c r="F958" s="8" t="s">
        <v>16</v>
      </c>
      <c r="G958" s="8"/>
      <c r="H958" s="8"/>
      <c r="I958" s="8"/>
      <c r="J958" s="8" t="s">
        <v>19</v>
      </c>
      <c r="K958" s="8"/>
    </row>
    <row r="959" customFormat="false" ht="12.8" hidden="false" customHeight="false" outlineLevel="0" collapsed="false">
      <c r="A959" s="6" t="str">
        <f aca="false">HYPERLINK("https://www.fabsurplus.com/sdi_catalog/salesItemDetails.do?id=97048")</f>
        <v>https://www.fabsurplus.com/sdi_catalog/salesItemDetails.do?id=97048</v>
      </c>
      <c r="B959" s="6" t="s">
        <v>2335</v>
      </c>
      <c r="C959" s="6" t="s">
        <v>2336</v>
      </c>
      <c r="D959" s="6" t="s">
        <v>2337</v>
      </c>
      <c r="E959" s="6" t="s">
        <v>2338</v>
      </c>
      <c r="F959" s="6" t="s">
        <v>16</v>
      </c>
      <c r="G959" s="6"/>
      <c r="H959" s="6" t="s">
        <v>311</v>
      </c>
      <c r="I959" s="6"/>
      <c r="J959" s="6" t="s">
        <v>312</v>
      </c>
      <c r="K959" s="6" t="s">
        <v>2339</v>
      </c>
    </row>
    <row r="960" customFormat="false" ht="12.8" hidden="false" customHeight="false" outlineLevel="0" collapsed="false">
      <c r="A960" s="6" t="str">
        <f aca="false">HYPERLINK("https://www.fabsurplus.com/sdi_catalog/salesItemDetails.do?id=100672")</f>
        <v>https://www.fabsurplus.com/sdi_catalog/salesItemDetails.do?id=100672</v>
      </c>
      <c r="B960" s="6" t="s">
        <v>2340</v>
      </c>
      <c r="C960" s="6" t="s">
        <v>2341</v>
      </c>
      <c r="D960" s="6" t="s">
        <v>2342</v>
      </c>
      <c r="E960" s="6" t="s">
        <v>586</v>
      </c>
      <c r="F960" s="6" t="s">
        <v>16</v>
      </c>
      <c r="G960" s="6" t="s">
        <v>38</v>
      </c>
      <c r="H960" s="6"/>
      <c r="I960" s="6"/>
      <c r="J960" s="6" t="s">
        <v>19</v>
      </c>
      <c r="K960" s="6"/>
    </row>
    <row r="961" customFormat="false" ht="12.8" hidden="false" customHeight="false" outlineLevel="0" collapsed="false">
      <c r="A961" s="8" t="str">
        <f aca="false">HYPERLINK("https://www.fabsurplus.com/sdi_catalog/salesItemDetails.do?id=100673")</f>
        <v>https://www.fabsurplus.com/sdi_catalog/salesItemDetails.do?id=100673</v>
      </c>
      <c r="B961" s="8" t="s">
        <v>2343</v>
      </c>
      <c r="C961" s="8" t="s">
        <v>164</v>
      </c>
      <c r="D961" s="8" t="s">
        <v>2344</v>
      </c>
      <c r="E961" s="8" t="s">
        <v>731</v>
      </c>
      <c r="F961" s="8" t="s">
        <v>16</v>
      </c>
      <c r="G961" s="8" t="s">
        <v>38</v>
      </c>
      <c r="H961" s="8"/>
      <c r="I961" s="8"/>
      <c r="J961" s="8" t="s">
        <v>19</v>
      </c>
      <c r="K961" s="8"/>
    </row>
    <row r="962" customFormat="false" ht="12.8" hidden="false" customHeight="false" outlineLevel="0" collapsed="false">
      <c r="A962" s="8" t="str">
        <f aca="false">HYPERLINK("https://www.fabsurplus.com/sdi_catalog/salesItemDetails.do?id=98028")</f>
        <v>https://www.fabsurplus.com/sdi_catalog/salesItemDetails.do?id=98028</v>
      </c>
      <c r="B962" s="8" t="s">
        <v>2345</v>
      </c>
      <c r="C962" s="8" t="s">
        <v>164</v>
      </c>
      <c r="D962" s="8" t="s">
        <v>2346</v>
      </c>
      <c r="E962" s="8" t="s">
        <v>752</v>
      </c>
      <c r="F962" s="8" t="s">
        <v>16</v>
      </c>
      <c r="G962" s="8" t="s">
        <v>32</v>
      </c>
      <c r="H962" s="8"/>
      <c r="I962" s="8"/>
      <c r="J962" s="8" t="s">
        <v>19</v>
      </c>
      <c r="K962" s="8"/>
    </row>
    <row r="963" customFormat="false" ht="12.8" hidden="false" customHeight="false" outlineLevel="0" collapsed="false">
      <c r="A963" s="6" t="str">
        <f aca="false">HYPERLINK("https://www.fabsurplus.com/sdi_catalog/salesItemDetails.do?id=98507")</f>
        <v>https://www.fabsurplus.com/sdi_catalog/salesItemDetails.do?id=98507</v>
      </c>
      <c r="B963" s="6" t="s">
        <v>2347</v>
      </c>
      <c r="C963" s="6" t="s">
        <v>164</v>
      </c>
      <c r="D963" s="6" t="s">
        <v>2348</v>
      </c>
      <c r="E963" s="6" t="s">
        <v>2349</v>
      </c>
      <c r="F963" s="6" t="s">
        <v>16</v>
      </c>
      <c r="G963" s="6" t="s">
        <v>32</v>
      </c>
      <c r="H963" s="6"/>
      <c r="I963" s="6"/>
      <c r="J963" s="6" t="s">
        <v>19</v>
      </c>
      <c r="K963" s="6"/>
    </row>
    <row r="964" customFormat="false" ht="12.8" hidden="false" customHeight="false" outlineLevel="0" collapsed="false">
      <c r="A964" s="6" t="str">
        <f aca="false">HYPERLINK("https://www.fabsurplus.com/sdi_catalog/salesItemDetails.do?id=98224")</f>
        <v>https://www.fabsurplus.com/sdi_catalog/salesItemDetails.do?id=98224</v>
      </c>
      <c r="B964" s="6" t="s">
        <v>2350</v>
      </c>
      <c r="C964" s="6" t="s">
        <v>2351</v>
      </c>
      <c r="D964" s="6" t="s">
        <v>2352</v>
      </c>
      <c r="E964" s="6" t="s">
        <v>752</v>
      </c>
      <c r="F964" s="6" t="s">
        <v>781</v>
      </c>
      <c r="G964" s="6" t="s">
        <v>38</v>
      </c>
      <c r="H964" s="6" t="s">
        <v>18</v>
      </c>
      <c r="I964" s="7" t="n">
        <v>37316</v>
      </c>
      <c r="J964" s="6" t="s">
        <v>81</v>
      </c>
      <c r="K964" s="6" t="s">
        <v>20</v>
      </c>
    </row>
    <row r="965" customFormat="false" ht="12.8" hidden="false" customHeight="false" outlineLevel="0" collapsed="false">
      <c r="A965" s="6" t="str">
        <f aca="false">HYPERLINK("https://www.fabsurplus.com/sdi_catalog/salesItemDetails.do?id=98907")</f>
        <v>https://www.fabsurplus.com/sdi_catalog/salesItemDetails.do?id=98907</v>
      </c>
      <c r="B965" s="6" t="s">
        <v>2353</v>
      </c>
      <c r="C965" s="6" t="s">
        <v>2354</v>
      </c>
      <c r="D965" s="6" t="s">
        <v>2355</v>
      </c>
      <c r="E965" s="6" t="s">
        <v>2356</v>
      </c>
      <c r="F965" s="6" t="s">
        <v>16</v>
      </c>
      <c r="G965" s="6"/>
      <c r="H965" s="6"/>
      <c r="I965" s="6"/>
      <c r="J965" s="6" t="s">
        <v>19</v>
      </c>
      <c r="K965" s="6"/>
    </row>
    <row r="966" customFormat="false" ht="12.8" hidden="false" customHeight="false" outlineLevel="0" collapsed="false">
      <c r="A966" s="8" t="str">
        <f aca="false">HYPERLINK("https://www.fabsurplus.com/sdi_catalog/salesItemDetails.do?id=98380")</f>
        <v>https://www.fabsurplus.com/sdi_catalog/salesItemDetails.do?id=98380</v>
      </c>
      <c r="B966" s="8" t="s">
        <v>2357</v>
      </c>
      <c r="C966" s="8" t="s">
        <v>2358</v>
      </c>
      <c r="D966" s="8" t="s">
        <v>2359</v>
      </c>
      <c r="E966" s="8" t="s">
        <v>2360</v>
      </c>
      <c r="F966" s="8" t="s">
        <v>16</v>
      </c>
      <c r="G966" s="8" t="s">
        <v>372</v>
      </c>
      <c r="H966" s="8"/>
      <c r="I966" s="8"/>
      <c r="J966" s="8" t="s">
        <v>19</v>
      </c>
      <c r="K966" s="8"/>
    </row>
    <row r="967" customFormat="false" ht="12.8" hidden="false" customHeight="false" outlineLevel="0" collapsed="false">
      <c r="A967" s="8" t="str">
        <f aca="false">HYPERLINK("https://www.fabsurplus.com/sdi_catalog/salesItemDetails.do?id=99059")</f>
        <v>https://www.fabsurplus.com/sdi_catalog/salesItemDetails.do?id=99059</v>
      </c>
      <c r="B967" s="8" t="s">
        <v>2361</v>
      </c>
      <c r="C967" s="8" t="s">
        <v>2362</v>
      </c>
      <c r="D967" s="8" t="s">
        <v>2363</v>
      </c>
      <c r="E967" s="8" t="s">
        <v>2364</v>
      </c>
      <c r="F967" s="8" t="s">
        <v>16</v>
      </c>
      <c r="G967" s="8"/>
      <c r="H967" s="8" t="s">
        <v>33</v>
      </c>
      <c r="I967" s="9" t="n">
        <v>41395</v>
      </c>
      <c r="J967" s="8" t="s">
        <v>19</v>
      </c>
      <c r="K967" s="8"/>
    </row>
    <row r="968" customFormat="false" ht="12.8" hidden="false" customHeight="false" outlineLevel="0" collapsed="false">
      <c r="A968" s="6" t="str">
        <f aca="false">HYPERLINK("https://www.fabsurplus.com/sdi_catalog/salesItemDetails.do?id=100341")</f>
        <v>https://www.fabsurplus.com/sdi_catalog/salesItemDetails.do?id=100341</v>
      </c>
      <c r="B968" s="6" t="s">
        <v>2365</v>
      </c>
      <c r="C968" s="6" t="s">
        <v>2366</v>
      </c>
      <c r="D968" s="6" t="s">
        <v>2367</v>
      </c>
      <c r="E968" s="6" t="s">
        <v>2368</v>
      </c>
      <c r="F968" s="6" t="s">
        <v>211</v>
      </c>
      <c r="G968" s="6" t="s">
        <v>228</v>
      </c>
      <c r="H968" s="6" t="s">
        <v>18</v>
      </c>
      <c r="I968" s="6"/>
      <c r="J968" s="6" t="s">
        <v>19</v>
      </c>
      <c r="K968" s="6" t="s">
        <v>20</v>
      </c>
    </row>
    <row r="969" customFormat="false" ht="12.8" hidden="false" customHeight="false" outlineLevel="0" collapsed="false">
      <c r="A969" s="6" t="str">
        <f aca="false">HYPERLINK("https://www.fabsurplus.com/sdi_catalog/salesItemDetails.do?id=98215")</f>
        <v>https://www.fabsurplus.com/sdi_catalog/salesItemDetails.do?id=98215</v>
      </c>
      <c r="B969" s="6" t="s">
        <v>2369</v>
      </c>
      <c r="C969" s="6" t="s">
        <v>2366</v>
      </c>
      <c r="D969" s="6" t="s">
        <v>2370</v>
      </c>
      <c r="E969" s="6" t="s">
        <v>2371</v>
      </c>
      <c r="F969" s="6" t="s">
        <v>16</v>
      </c>
      <c r="G969" s="6" t="s">
        <v>228</v>
      </c>
      <c r="H969" s="6" t="s">
        <v>18</v>
      </c>
      <c r="I969" s="7" t="n">
        <v>40695</v>
      </c>
      <c r="J969" s="6" t="s">
        <v>19</v>
      </c>
      <c r="K969" s="6" t="s">
        <v>20</v>
      </c>
    </row>
    <row r="970" customFormat="false" ht="12.8" hidden="false" customHeight="false" outlineLevel="0" collapsed="false">
      <c r="A970" s="8" t="str">
        <f aca="false">HYPERLINK("https://www.fabsurplus.com/sdi_catalog/salesItemDetails.do?id=98216")</f>
        <v>https://www.fabsurplus.com/sdi_catalog/salesItemDetails.do?id=98216</v>
      </c>
      <c r="B970" s="8" t="s">
        <v>2372</v>
      </c>
      <c r="C970" s="8" t="s">
        <v>2366</v>
      </c>
      <c r="D970" s="8" t="s">
        <v>2373</v>
      </c>
      <c r="E970" s="8" t="s">
        <v>2371</v>
      </c>
      <c r="F970" s="8" t="s">
        <v>16</v>
      </c>
      <c r="G970" s="8" t="s">
        <v>228</v>
      </c>
      <c r="H970" s="8" t="s">
        <v>18</v>
      </c>
      <c r="I970" s="9" t="n">
        <v>40330</v>
      </c>
      <c r="J970" s="8" t="s">
        <v>19</v>
      </c>
      <c r="K970" s="8" t="s">
        <v>20</v>
      </c>
    </row>
    <row r="971" customFormat="false" ht="12.8" hidden="false" customHeight="false" outlineLevel="0" collapsed="false">
      <c r="A971" s="8" t="str">
        <f aca="false">HYPERLINK("https://www.fabsurplus.com/sdi_catalog/salesItemDetails.do?id=97909")</f>
        <v>https://www.fabsurplus.com/sdi_catalog/salesItemDetails.do?id=97909</v>
      </c>
      <c r="B971" s="8" t="s">
        <v>2374</v>
      </c>
      <c r="C971" s="8" t="s">
        <v>2375</v>
      </c>
      <c r="D971" s="8" t="s">
        <v>2376</v>
      </c>
      <c r="E971" s="8" t="s">
        <v>2377</v>
      </c>
      <c r="F971" s="8" t="s">
        <v>16</v>
      </c>
      <c r="G971" s="8" t="s">
        <v>1851</v>
      </c>
      <c r="H971" s="8"/>
      <c r="I971" s="8"/>
      <c r="J971" s="8" t="s">
        <v>81</v>
      </c>
      <c r="K971" s="8"/>
    </row>
    <row r="972" customFormat="false" ht="12.8" hidden="false" customHeight="false" outlineLevel="0" collapsed="false">
      <c r="A972" s="8" t="str">
        <f aca="false">HYPERLINK("https://www.fabsurplus.com/sdi_catalog/salesItemDetails.do?id=99410")</f>
        <v>https://www.fabsurplus.com/sdi_catalog/salesItemDetails.do?id=99410</v>
      </c>
      <c r="B972" s="8" t="s">
        <v>2378</v>
      </c>
      <c r="C972" s="8" t="s">
        <v>2379</v>
      </c>
      <c r="D972" s="8" t="s">
        <v>2380</v>
      </c>
      <c r="E972" s="8" t="s">
        <v>2381</v>
      </c>
      <c r="F972" s="8" t="s">
        <v>16</v>
      </c>
      <c r="G972" s="8" t="s">
        <v>328</v>
      </c>
      <c r="H972" s="8" t="s">
        <v>33</v>
      </c>
      <c r="I972" s="9" t="n">
        <v>34851</v>
      </c>
      <c r="J972" s="8" t="s">
        <v>19</v>
      </c>
      <c r="K972" s="8" t="s">
        <v>20</v>
      </c>
    </row>
    <row r="973" customFormat="false" ht="12.8" hidden="false" customHeight="false" outlineLevel="0" collapsed="false">
      <c r="A973" s="6" t="str">
        <f aca="false">HYPERLINK("https://www.fabsurplus.com/sdi_catalog/salesItemDetails.do?id=98571")</f>
        <v>https://www.fabsurplus.com/sdi_catalog/salesItemDetails.do?id=98571</v>
      </c>
      <c r="B973" s="6" t="s">
        <v>2382</v>
      </c>
      <c r="C973" s="6" t="s">
        <v>2375</v>
      </c>
      <c r="D973" s="6" t="s">
        <v>2383</v>
      </c>
      <c r="E973" s="6" t="s">
        <v>2384</v>
      </c>
      <c r="F973" s="6" t="s">
        <v>16</v>
      </c>
      <c r="G973" s="6" t="s">
        <v>1851</v>
      </c>
      <c r="H973" s="6"/>
      <c r="I973" s="6"/>
      <c r="J973" s="6" t="s">
        <v>19</v>
      </c>
      <c r="K973" s="6"/>
    </row>
    <row r="974" customFormat="false" ht="12.8" hidden="false" customHeight="false" outlineLevel="0" collapsed="false">
      <c r="A974" s="6" t="str">
        <f aca="false">HYPERLINK("https://www.fabsurplus.com/sdi_catalog/salesItemDetails.do?id=98381")</f>
        <v>https://www.fabsurplus.com/sdi_catalog/salesItemDetails.do?id=98381</v>
      </c>
      <c r="B974" s="6" t="s">
        <v>2385</v>
      </c>
      <c r="C974" s="6" t="s">
        <v>2379</v>
      </c>
      <c r="D974" s="6" t="s">
        <v>2383</v>
      </c>
      <c r="E974" s="6" t="s">
        <v>2386</v>
      </c>
      <c r="F974" s="6" t="s">
        <v>16</v>
      </c>
      <c r="G974" s="6"/>
      <c r="H974" s="6"/>
      <c r="I974" s="6"/>
      <c r="J974" s="6" t="s">
        <v>19</v>
      </c>
      <c r="K974" s="6"/>
    </row>
    <row r="975" customFormat="false" ht="12.8" hidden="false" customHeight="false" outlineLevel="0" collapsed="false">
      <c r="A975" s="6" t="str">
        <f aca="false">HYPERLINK("https://www.fabsurplus.com/sdi_catalog/salesItemDetails.do?id=97908")</f>
        <v>https://www.fabsurplus.com/sdi_catalog/salesItemDetails.do?id=97908</v>
      </c>
      <c r="B975" s="6" t="s">
        <v>2387</v>
      </c>
      <c r="C975" s="6" t="s">
        <v>2375</v>
      </c>
      <c r="D975" s="6" t="s">
        <v>2383</v>
      </c>
      <c r="E975" s="6" t="s">
        <v>2377</v>
      </c>
      <c r="F975" s="6" t="s">
        <v>16</v>
      </c>
      <c r="G975" s="6" t="s">
        <v>1851</v>
      </c>
      <c r="H975" s="6"/>
      <c r="I975" s="6"/>
      <c r="J975" s="6" t="s">
        <v>81</v>
      </c>
      <c r="K975" s="6"/>
    </row>
    <row r="976" customFormat="false" ht="12.8" hidden="false" customHeight="false" outlineLevel="0" collapsed="false">
      <c r="A976" s="8" t="str">
        <f aca="false">HYPERLINK("https://www.fabsurplus.com/sdi_catalog/salesItemDetails.do?id=98570")</f>
        <v>https://www.fabsurplus.com/sdi_catalog/salesItemDetails.do?id=98570</v>
      </c>
      <c r="B976" s="8" t="s">
        <v>2388</v>
      </c>
      <c r="C976" s="8" t="s">
        <v>2375</v>
      </c>
      <c r="D976" s="8" t="s">
        <v>2389</v>
      </c>
      <c r="E976" s="8" t="s">
        <v>2390</v>
      </c>
      <c r="F976" s="8" t="s">
        <v>16</v>
      </c>
      <c r="G976" s="8" t="s">
        <v>1851</v>
      </c>
      <c r="H976" s="8"/>
      <c r="I976" s="8"/>
      <c r="J976" s="8" t="s">
        <v>19</v>
      </c>
      <c r="K976" s="8"/>
    </row>
    <row r="977" customFormat="false" ht="12.8" hidden="false" customHeight="false" outlineLevel="0" collapsed="false">
      <c r="A977" s="6" t="str">
        <f aca="false">HYPERLINK("https://www.fabsurplus.com/sdi_catalog/salesItemDetails.do?id=99411")</f>
        <v>https://www.fabsurplus.com/sdi_catalog/salesItemDetails.do?id=99411</v>
      </c>
      <c r="B977" s="6" t="s">
        <v>2391</v>
      </c>
      <c r="C977" s="6" t="s">
        <v>2379</v>
      </c>
      <c r="D977" s="6" t="s">
        <v>2392</v>
      </c>
      <c r="E977" s="6" t="s">
        <v>2393</v>
      </c>
      <c r="F977" s="6" t="s">
        <v>16</v>
      </c>
      <c r="G977" s="6" t="s">
        <v>328</v>
      </c>
      <c r="H977" s="6" t="s">
        <v>33</v>
      </c>
      <c r="I977" s="7" t="n">
        <v>33025</v>
      </c>
      <c r="J977" s="6" t="s">
        <v>19</v>
      </c>
      <c r="K977" s="6" t="s">
        <v>20</v>
      </c>
    </row>
    <row r="978" customFormat="false" ht="12.8" hidden="false" customHeight="false" outlineLevel="0" collapsed="false">
      <c r="A978" s="8" t="str">
        <f aca="false">HYPERLINK("https://www.fabsurplus.com/sdi_catalog/salesItemDetails.do?id=99412")</f>
        <v>https://www.fabsurplus.com/sdi_catalog/salesItemDetails.do?id=99412</v>
      </c>
      <c r="B978" s="8" t="s">
        <v>2394</v>
      </c>
      <c r="C978" s="8" t="s">
        <v>2379</v>
      </c>
      <c r="D978" s="8" t="s">
        <v>2395</v>
      </c>
      <c r="E978" s="8" t="s">
        <v>2396</v>
      </c>
      <c r="F978" s="8" t="s">
        <v>16</v>
      </c>
      <c r="G978" s="8" t="s">
        <v>328</v>
      </c>
      <c r="H978" s="8" t="s">
        <v>33</v>
      </c>
      <c r="I978" s="9" t="n">
        <v>34851</v>
      </c>
      <c r="J978" s="8" t="s">
        <v>19</v>
      </c>
      <c r="K978" s="8" t="s">
        <v>20</v>
      </c>
    </row>
    <row r="979" customFormat="false" ht="12.8" hidden="false" customHeight="false" outlineLevel="0" collapsed="false">
      <c r="A979" s="8" t="str">
        <f aca="false">HYPERLINK("https://www.fabsurplus.com/sdi_catalog/salesItemDetails.do?id=100726")</f>
        <v>https://www.fabsurplus.com/sdi_catalog/salesItemDetails.do?id=100726</v>
      </c>
      <c r="B979" s="8" t="s">
        <v>2397</v>
      </c>
      <c r="C979" s="8" t="s">
        <v>2398</v>
      </c>
      <c r="D979" s="8" t="s">
        <v>2399</v>
      </c>
      <c r="E979" s="8" t="s">
        <v>2400</v>
      </c>
      <c r="F979" s="8" t="s">
        <v>16</v>
      </c>
      <c r="G979" s="8"/>
      <c r="H979" s="8"/>
      <c r="I979" s="8"/>
      <c r="J979" s="8" t="s">
        <v>19</v>
      </c>
      <c r="K979" s="8"/>
    </row>
    <row r="980" customFormat="false" ht="12.8" hidden="false" customHeight="false" outlineLevel="0" collapsed="false">
      <c r="A980" s="6" t="str">
        <f aca="false">HYPERLINK("https://www.fabsurplus.com/sdi_catalog/salesItemDetails.do?id=100727")</f>
        <v>https://www.fabsurplus.com/sdi_catalog/salesItemDetails.do?id=100727</v>
      </c>
      <c r="B980" s="6" t="s">
        <v>2401</v>
      </c>
      <c r="C980" s="6" t="s">
        <v>2398</v>
      </c>
      <c r="D980" s="6" t="s">
        <v>2402</v>
      </c>
      <c r="E980" s="6" t="s">
        <v>2403</v>
      </c>
      <c r="F980" s="6" t="s">
        <v>16</v>
      </c>
      <c r="G980" s="6"/>
      <c r="H980" s="6"/>
      <c r="I980" s="6"/>
      <c r="J980" s="6" t="s">
        <v>19</v>
      </c>
      <c r="K980" s="6"/>
    </row>
    <row r="981" customFormat="false" ht="12.8" hidden="false" customHeight="false" outlineLevel="0" collapsed="false">
      <c r="A981" s="8" t="str">
        <f aca="false">HYPERLINK("https://www.fabsurplus.com/sdi_catalog/salesItemDetails.do?id=100633")</f>
        <v>https://www.fabsurplus.com/sdi_catalog/salesItemDetails.do?id=100633</v>
      </c>
      <c r="B981" s="8" t="s">
        <v>2404</v>
      </c>
      <c r="C981" s="8" t="s">
        <v>2405</v>
      </c>
      <c r="D981" s="8" t="s">
        <v>2406</v>
      </c>
      <c r="E981" s="8" t="s">
        <v>2407</v>
      </c>
      <c r="F981" s="8" t="s">
        <v>16</v>
      </c>
      <c r="G981" s="8" t="s">
        <v>328</v>
      </c>
      <c r="H981" s="8"/>
      <c r="I981" s="8"/>
      <c r="J981" s="8" t="s">
        <v>19</v>
      </c>
      <c r="K981" s="8"/>
    </row>
    <row r="982" customFormat="false" ht="12.8" hidden="false" customHeight="false" outlineLevel="0" collapsed="false">
      <c r="A982" s="6" t="str">
        <f aca="false">HYPERLINK("https://www.fabsurplus.com/sdi_catalog/salesItemDetails.do?id=100634")</f>
        <v>https://www.fabsurplus.com/sdi_catalog/salesItemDetails.do?id=100634</v>
      </c>
      <c r="B982" s="6" t="s">
        <v>2408</v>
      </c>
      <c r="C982" s="6" t="s">
        <v>2405</v>
      </c>
      <c r="D982" s="6" t="s">
        <v>2409</v>
      </c>
      <c r="E982" s="6" t="s">
        <v>1842</v>
      </c>
      <c r="F982" s="6" t="s">
        <v>611</v>
      </c>
      <c r="G982" s="6" t="s">
        <v>328</v>
      </c>
      <c r="H982" s="6"/>
      <c r="I982" s="6"/>
      <c r="J982" s="6" t="s">
        <v>19</v>
      </c>
      <c r="K982" s="6"/>
    </row>
    <row r="983" customFormat="false" ht="12.8" hidden="false" customHeight="false" outlineLevel="0" collapsed="false">
      <c r="A983" s="8" t="str">
        <f aca="false">HYPERLINK("https://www.fabsurplus.com/sdi_catalog/salesItemDetails.do?id=98790")</f>
        <v>https://www.fabsurplus.com/sdi_catalog/salesItemDetails.do?id=98790</v>
      </c>
      <c r="B983" s="8" t="s">
        <v>2410</v>
      </c>
      <c r="C983" s="8" t="s">
        <v>2411</v>
      </c>
      <c r="D983" s="8" t="s">
        <v>2412</v>
      </c>
      <c r="E983" s="8" t="s">
        <v>2413</v>
      </c>
      <c r="F983" s="8" t="s">
        <v>16</v>
      </c>
      <c r="G983" s="8" t="s">
        <v>434</v>
      </c>
      <c r="H983" s="8" t="s">
        <v>33</v>
      </c>
      <c r="I983" s="9" t="n">
        <v>39600</v>
      </c>
      <c r="J983" s="8" t="s">
        <v>19</v>
      </c>
      <c r="K983" s="8" t="s">
        <v>20</v>
      </c>
    </row>
    <row r="984" customFormat="false" ht="12.8" hidden="false" customHeight="false" outlineLevel="0" collapsed="false">
      <c r="A984" s="6" t="str">
        <f aca="false">HYPERLINK("https://www.fabsurplus.com/sdi_catalog/salesItemDetails.do?id=96847")</f>
        <v>https://www.fabsurplus.com/sdi_catalog/salesItemDetails.do?id=96847</v>
      </c>
      <c r="B984" s="6" t="s">
        <v>2414</v>
      </c>
      <c r="C984" s="6" t="s">
        <v>2415</v>
      </c>
      <c r="D984" s="6" t="s">
        <v>2416</v>
      </c>
      <c r="E984" s="6" t="s">
        <v>2417</v>
      </c>
      <c r="F984" s="6" t="s">
        <v>16</v>
      </c>
      <c r="G984" s="6"/>
      <c r="H984" s="6"/>
      <c r="I984" s="6"/>
      <c r="J984" s="6" t="s">
        <v>19</v>
      </c>
      <c r="K984" s="6"/>
    </row>
    <row r="985" customFormat="false" ht="12.8" hidden="false" customHeight="false" outlineLevel="0" collapsed="false">
      <c r="A985" s="6" t="str">
        <f aca="false">HYPERLINK("https://www.fabsurplus.com/sdi_catalog/salesItemDetails.do?id=100113")</f>
        <v>https://www.fabsurplus.com/sdi_catalog/salesItemDetails.do?id=100113</v>
      </c>
      <c r="B985" s="6" t="s">
        <v>2418</v>
      </c>
      <c r="C985" s="6" t="s">
        <v>2415</v>
      </c>
      <c r="D985" s="6" t="s">
        <v>2419</v>
      </c>
      <c r="E985" s="6" t="s">
        <v>2417</v>
      </c>
      <c r="F985" s="6" t="s">
        <v>16</v>
      </c>
      <c r="G985" s="6" t="s">
        <v>1851</v>
      </c>
      <c r="H985" s="6"/>
      <c r="I985" s="7" t="n">
        <v>41791</v>
      </c>
      <c r="J985" s="6" t="s">
        <v>19</v>
      </c>
      <c r="K985" s="6"/>
    </row>
    <row r="986" customFormat="false" ht="12.8" hidden="false" customHeight="false" outlineLevel="0" collapsed="false">
      <c r="A986" s="8" t="str">
        <f aca="false">HYPERLINK("https://www.fabsurplus.com/sdi_catalog/salesItemDetails.do?id=100112")</f>
        <v>https://www.fabsurplus.com/sdi_catalog/salesItemDetails.do?id=100112</v>
      </c>
      <c r="B986" s="8" t="s">
        <v>2420</v>
      </c>
      <c r="C986" s="8" t="s">
        <v>2415</v>
      </c>
      <c r="D986" s="8" t="s">
        <v>2419</v>
      </c>
      <c r="E986" s="8" t="s">
        <v>2417</v>
      </c>
      <c r="F986" s="8" t="s">
        <v>16</v>
      </c>
      <c r="G986" s="8" t="s">
        <v>1851</v>
      </c>
      <c r="H986" s="8"/>
      <c r="I986" s="9" t="n">
        <v>41791</v>
      </c>
      <c r="J986" s="8" t="s">
        <v>19</v>
      </c>
      <c r="K986" s="8"/>
    </row>
    <row r="987" customFormat="false" ht="12.8" hidden="false" customHeight="false" outlineLevel="0" collapsed="false">
      <c r="A987" s="6" t="str">
        <f aca="false">HYPERLINK("https://www.fabsurplus.com/sdi_catalog/salesItemDetails.do?id=100111")</f>
        <v>https://www.fabsurplus.com/sdi_catalog/salesItemDetails.do?id=100111</v>
      </c>
      <c r="B987" s="6" t="s">
        <v>2421</v>
      </c>
      <c r="C987" s="6" t="s">
        <v>2415</v>
      </c>
      <c r="D987" s="6" t="s">
        <v>2419</v>
      </c>
      <c r="E987" s="6" t="s">
        <v>2417</v>
      </c>
      <c r="F987" s="6" t="s">
        <v>16</v>
      </c>
      <c r="G987" s="6" t="s">
        <v>1851</v>
      </c>
      <c r="H987" s="6"/>
      <c r="I987" s="7" t="n">
        <v>41791</v>
      </c>
      <c r="J987" s="6" t="s">
        <v>19</v>
      </c>
      <c r="K987" s="6"/>
    </row>
    <row r="988" customFormat="false" ht="12.8" hidden="false" customHeight="false" outlineLevel="0" collapsed="false">
      <c r="A988" s="8" t="str">
        <f aca="false">HYPERLINK("https://www.fabsurplus.com/sdi_catalog/salesItemDetails.do?id=99136")</f>
        <v>https://www.fabsurplus.com/sdi_catalog/salesItemDetails.do?id=99136</v>
      </c>
      <c r="B988" s="8" t="s">
        <v>2422</v>
      </c>
      <c r="C988" s="8" t="s">
        <v>2415</v>
      </c>
      <c r="D988" s="8" t="s">
        <v>2419</v>
      </c>
      <c r="E988" s="8" t="s">
        <v>2417</v>
      </c>
      <c r="F988" s="8" t="s">
        <v>16</v>
      </c>
      <c r="G988" s="8"/>
      <c r="H988" s="8"/>
      <c r="I988" s="8"/>
      <c r="J988" s="8" t="s">
        <v>19</v>
      </c>
      <c r="K988" s="8"/>
    </row>
    <row r="989" customFormat="false" ht="12.8" hidden="false" customHeight="false" outlineLevel="0" collapsed="false">
      <c r="A989" s="8" t="str">
        <f aca="false">HYPERLINK("https://www.fabsurplus.com/sdi_catalog/salesItemDetails.do?id=100728")</f>
        <v>https://www.fabsurplus.com/sdi_catalog/salesItemDetails.do?id=100728</v>
      </c>
      <c r="B989" s="8" t="s">
        <v>2423</v>
      </c>
      <c r="C989" s="8" t="s">
        <v>2424</v>
      </c>
      <c r="D989" s="8" t="s">
        <v>2425</v>
      </c>
      <c r="E989" s="8" t="s">
        <v>2426</v>
      </c>
      <c r="F989" s="8" t="s">
        <v>16</v>
      </c>
      <c r="G989" s="8"/>
      <c r="H989" s="8"/>
      <c r="I989" s="9" t="n">
        <v>40330</v>
      </c>
      <c r="J989" s="8" t="s">
        <v>19</v>
      </c>
      <c r="K989" s="8"/>
    </row>
    <row r="990" customFormat="false" ht="12.8" hidden="false" customHeight="false" outlineLevel="0" collapsed="false">
      <c r="A990" s="8" t="str">
        <f aca="false">HYPERLINK("https://www.fabsurplus.com/sdi_catalog/salesItemDetails.do?id=100702")</f>
        <v>https://www.fabsurplus.com/sdi_catalog/salesItemDetails.do?id=100702</v>
      </c>
      <c r="B990" s="8" t="s">
        <v>2427</v>
      </c>
      <c r="C990" s="8" t="s">
        <v>2428</v>
      </c>
      <c r="D990" s="8" t="s">
        <v>2429</v>
      </c>
      <c r="E990" s="8" t="s">
        <v>2430</v>
      </c>
      <c r="F990" s="8" t="s">
        <v>16</v>
      </c>
      <c r="G990" s="8"/>
      <c r="H990" s="8"/>
      <c r="I990" s="9" t="n">
        <v>37012</v>
      </c>
      <c r="J990" s="8" t="s">
        <v>19</v>
      </c>
      <c r="K990" s="8"/>
    </row>
    <row r="991" customFormat="false" ht="12.8" hidden="false" customHeight="false" outlineLevel="0" collapsed="false">
      <c r="A991" s="6" t="str">
        <f aca="false">HYPERLINK("https://www.fabsurplus.com/sdi_catalog/salesItemDetails.do?id=98908")</f>
        <v>https://www.fabsurplus.com/sdi_catalog/salesItemDetails.do?id=98908</v>
      </c>
      <c r="B991" s="6" t="s">
        <v>2431</v>
      </c>
      <c r="C991" s="6" t="s">
        <v>2432</v>
      </c>
      <c r="D991" s="6" t="s">
        <v>2433</v>
      </c>
      <c r="E991" s="6" t="s">
        <v>2434</v>
      </c>
      <c r="F991" s="6" t="s">
        <v>16</v>
      </c>
      <c r="G991" s="6"/>
      <c r="H991" s="6"/>
      <c r="I991" s="6"/>
      <c r="J991" s="6" t="s">
        <v>19</v>
      </c>
      <c r="K991" s="6"/>
    </row>
    <row r="992" customFormat="false" ht="12.8" hidden="false" customHeight="false" outlineLevel="0" collapsed="false">
      <c r="A992" s="6" t="str">
        <f aca="false">HYPERLINK("https://www.fabsurplus.com/sdi_catalog/salesItemDetails.do?id=99284")</f>
        <v>https://www.fabsurplus.com/sdi_catalog/salesItemDetails.do?id=99284</v>
      </c>
      <c r="B992" s="6" t="s">
        <v>2435</v>
      </c>
      <c r="C992" s="6" t="s">
        <v>2436</v>
      </c>
      <c r="D992" s="6" t="s">
        <v>2437</v>
      </c>
      <c r="E992" s="6" t="s">
        <v>2438</v>
      </c>
      <c r="F992" s="6" t="s">
        <v>16</v>
      </c>
      <c r="G992" s="6"/>
      <c r="H992" s="6" t="s">
        <v>18</v>
      </c>
      <c r="I992" s="7" t="n">
        <v>39600</v>
      </c>
      <c r="J992" s="6" t="s">
        <v>81</v>
      </c>
      <c r="K992" s="6" t="s">
        <v>20</v>
      </c>
    </row>
    <row r="993" customFormat="false" ht="12.8" hidden="false" customHeight="false" outlineLevel="0" collapsed="false">
      <c r="A993" s="8" t="str">
        <f aca="false">HYPERLINK("https://www.fabsurplus.com/sdi_catalog/salesItemDetails.do?id=99282")</f>
        <v>https://www.fabsurplus.com/sdi_catalog/salesItemDetails.do?id=99282</v>
      </c>
      <c r="B993" s="8" t="s">
        <v>2439</v>
      </c>
      <c r="C993" s="8" t="s">
        <v>2436</v>
      </c>
      <c r="D993" s="8" t="s">
        <v>2440</v>
      </c>
      <c r="E993" s="8" t="s">
        <v>2441</v>
      </c>
      <c r="F993" s="8" t="s">
        <v>16</v>
      </c>
      <c r="G993" s="8"/>
      <c r="H993" s="8" t="s">
        <v>18</v>
      </c>
      <c r="I993" s="8"/>
      <c r="J993" s="8" t="s">
        <v>81</v>
      </c>
      <c r="K993" s="8" t="s">
        <v>20</v>
      </c>
    </row>
    <row r="994" customFormat="false" ht="12.8" hidden="false" customHeight="false" outlineLevel="0" collapsed="false">
      <c r="A994" s="6" t="str">
        <f aca="false">HYPERLINK("https://www.fabsurplus.com/sdi_catalog/salesItemDetails.do?id=97851")</f>
        <v>https://www.fabsurplus.com/sdi_catalog/salesItemDetails.do?id=97851</v>
      </c>
      <c r="B994" s="6" t="s">
        <v>2442</v>
      </c>
      <c r="C994" s="6" t="s">
        <v>2443</v>
      </c>
      <c r="D994" s="6" t="s">
        <v>2444</v>
      </c>
      <c r="E994" s="6" t="s">
        <v>805</v>
      </c>
      <c r="F994" s="6" t="s">
        <v>16</v>
      </c>
      <c r="G994" s="6"/>
      <c r="H994" s="6"/>
      <c r="I994" s="6"/>
      <c r="J994" s="6" t="s">
        <v>19</v>
      </c>
      <c r="K994" s="6"/>
    </row>
    <row r="995" customFormat="false" ht="12.8" hidden="false" customHeight="false" outlineLevel="0" collapsed="false">
      <c r="A995" s="6" t="str">
        <f aca="false">HYPERLINK("https://www.fabsurplus.com/sdi_catalog/salesItemDetails.do?id=100635")</f>
        <v>https://www.fabsurplus.com/sdi_catalog/salesItemDetails.do?id=100635</v>
      </c>
      <c r="B995" s="6" t="s">
        <v>2445</v>
      </c>
      <c r="C995" s="6" t="s">
        <v>2446</v>
      </c>
      <c r="D995" s="6" t="s">
        <v>2447</v>
      </c>
      <c r="E995" s="6" t="s">
        <v>2448</v>
      </c>
      <c r="F995" s="6" t="s">
        <v>16</v>
      </c>
      <c r="G995" s="6"/>
      <c r="H995" s="6"/>
      <c r="I995" s="6"/>
      <c r="J995" s="6" t="s">
        <v>19</v>
      </c>
      <c r="K995" s="6"/>
    </row>
    <row r="996" customFormat="false" ht="12.8" hidden="false" customHeight="false" outlineLevel="0" collapsed="false">
      <c r="A996" s="8" t="str">
        <f aca="false">HYPERLINK("https://www.fabsurplus.com/sdi_catalog/salesItemDetails.do?id=100636")</f>
        <v>https://www.fabsurplus.com/sdi_catalog/salesItemDetails.do?id=100636</v>
      </c>
      <c r="B996" s="8" t="s">
        <v>2449</v>
      </c>
      <c r="C996" s="8" t="s">
        <v>2446</v>
      </c>
      <c r="D996" s="8" t="s">
        <v>2450</v>
      </c>
      <c r="E996" s="8" t="s">
        <v>2448</v>
      </c>
      <c r="F996" s="8" t="s">
        <v>16</v>
      </c>
      <c r="G996" s="8"/>
      <c r="H996" s="8"/>
      <c r="I996" s="8"/>
      <c r="J996" s="8" t="s">
        <v>19</v>
      </c>
      <c r="K996" s="8"/>
    </row>
    <row r="997" customFormat="false" ht="12.8" hidden="false" customHeight="false" outlineLevel="0" collapsed="false">
      <c r="A997" s="8" t="str">
        <f aca="false">HYPERLINK("https://www.fabsurplus.com/sdi_catalog/salesItemDetails.do?id=98528")</f>
        <v>https://www.fabsurplus.com/sdi_catalog/salesItemDetails.do?id=98528</v>
      </c>
      <c r="B997" s="8" t="s">
        <v>2451</v>
      </c>
      <c r="C997" s="8" t="s">
        <v>2446</v>
      </c>
      <c r="D997" s="8" t="s">
        <v>2450</v>
      </c>
      <c r="E997" s="8" t="s">
        <v>2448</v>
      </c>
      <c r="F997" s="8" t="s">
        <v>16</v>
      </c>
      <c r="G997" s="8" t="s">
        <v>328</v>
      </c>
      <c r="H997" s="8"/>
      <c r="I997" s="8"/>
      <c r="J997" s="8" t="s">
        <v>19</v>
      </c>
      <c r="K997" s="8"/>
    </row>
    <row r="998" customFormat="false" ht="12.8" hidden="false" customHeight="false" outlineLevel="0" collapsed="false">
      <c r="A998" s="6" t="str">
        <f aca="false">HYPERLINK("https://www.fabsurplus.com/sdi_catalog/salesItemDetails.do?id=100715")</f>
        <v>https://www.fabsurplus.com/sdi_catalog/salesItemDetails.do?id=100715</v>
      </c>
      <c r="B998" s="6" t="s">
        <v>2452</v>
      </c>
      <c r="C998" s="6" t="s">
        <v>2446</v>
      </c>
      <c r="D998" s="6" t="s">
        <v>2453</v>
      </c>
      <c r="E998" s="6" t="s">
        <v>2454</v>
      </c>
      <c r="F998" s="6" t="s">
        <v>611</v>
      </c>
      <c r="G998" s="6" t="s">
        <v>328</v>
      </c>
      <c r="H998" s="6" t="s">
        <v>18</v>
      </c>
      <c r="I998" s="6"/>
      <c r="J998" s="6" t="s">
        <v>19</v>
      </c>
      <c r="K998" s="6" t="s">
        <v>20</v>
      </c>
    </row>
    <row r="999" customFormat="false" ht="12.8" hidden="false" customHeight="false" outlineLevel="0" collapsed="false">
      <c r="A999" s="6" t="str">
        <f aca="false">HYPERLINK("https://www.fabsurplus.com/sdi_catalog/salesItemDetails.do?id=97444")</f>
        <v>https://www.fabsurplus.com/sdi_catalog/salesItemDetails.do?id=97444</v>
      </c>
      <c r="B999" s="6" t="s">
        <v>2455</v>
      </c>
      <c r="C999" s="6" t="s">
        <v>2446</v>
      </c>
      <c r="D999" s="6" t="s">
        <v>2456</v>
      </c>
      <c r="E999" s="6" t="s">
        <v>2457</v>
      </c>
      <c r="F999" s="6" t="s">
        <v>16</v>
      </c>
      <c r="G999" s="6"/>
      <c r="H999" s="6" t="s">
        <v>33</v>
      </c>
      <c r="I999" s="7" t="n">
        <v>40179</v>
      </c>
      <c r="J999" s="6" t="s">
        <v>19</v>
      </c>
      <c r="K999" s="6" t="s">
        <v>20</v>
      </c>
    </row>
    <row r="1000" customFormat="false" ht="12.8" hidden="false" customHeight="false" outlineLevel="0" collapsed="false">
      <c r="A1000" s="6" t="str">
        <f aca="false">HYPERLINK("https://www.fabsurplus.com/sdi_catalog/salesItemDetails.do?id=100637")</f>
        <v>https://www.fabsurplus.com/sdi_catalog/salesItemDetails.do?id=100637</v>
      </c>
      <c r="B1000" s="6" t="s">
        <v>2458</v>
      </c>
      <c r="C1000" s="6" t="s">
        <v>2446</v>
      </c>
      <c r="D1000" s="6" t="s">
        <v>2459</v>
      </c>
      <c r="E1000" s="6" t="s">
        <v>2460</v>
      </c>
      <c r="F1000" s="6" t="s">
        <v>16</v>
      </c>
      <c r="G1000" s="6" t="s">
        <v>32</v>
      </c>
      <c r="H1000" s="6"/>
      <c r="I1000" s="6"/>
      <c r="J1000" s="6" t="s">
        <v>19</v>
      </c>
      <c r="K1000" s="6"/>
    </row>
    <row r="1001" customFormat="false" ht="12.8" hidden="false" customHeight="false" outlineLevel="0" collapsed="false">
      <c r="A1001" s="6" t="str">
        <f aca="false">HYPERLINK("https://www.fabsurplus.com/sdi_catalog/salesItemDetails.do?id=96991")</f>
        <v>https://www.fabsurplus.com/sdi_catalog/salesItemDetails.do?id=96991</v>
      </c>
      <c r="B1001" s="6" t="s">
        <v>2461</v>
      </c>
      <c r="C1001" s="6" t="s">
        <v>2446</v>
      </c>
      <c r="D1001" s="6" t="s">
        <v>2462</v>
      </c>
      <c r="E1001" s="6" t="s">
        <v>2463</v>
      </c>
      <c r="F1001" s="6" t="s">
        <v>16</v>
      </c>
      <c r="G1001" s="6" t="s">
        <v>2464</v>
      </c>
      <c r="H1001" s="6" t="s">
        <v>33</v>
      </c>
      <c r="I1001" s="7" t="n">
        <v>37438</v>
      </c>
      <c r="J1001" s="6" t="s">
        <v>81</v>
      </c>
      <c r="K1001" s="6" t="s">
        <v>20</v>
      </c>
    </row>
    <row r="1002" customFormat="false" ht="12.8" hidden="false" customHeight="false" outlineLevel="0" collapsed="false">
      <c r="A1002" s="8" t="str">
        <f aca="false">HYPERLINK("https://www.fabsurplus.com/sdi_catalog/salesItemDetails.do?id=98382")</f>
        <v>https://www.fabsurplus.com/sdi_catalog/salesItemDetails.do?id=98382</v>
      </c>
      <c r="B1002" s="8" t="s">
        <v>2465</v>
      </c>
      <c r="C1002" s="8" t="s">
        <v>2446</v>
      </c>
      <c r="D1002" s="8" t="s">
        <v>2466</v>
      </c>
      <c r="E1002" s="8" t="s">
        <v>2467</v>
      </c>
      <c r="F1002" s="8" t="s">
        <v>16</v>
      </c>
      <c r="G1002" s="8" t="s">
        <v>372</v>
      </c>
      <c r="H1002" s="8" t="s">
        <v>18</v>
      </c>
      <c r="I1002" s="8"/>
      <c r="J1002" s="8" t="s">
        <v>19</v>
      </c>
      <c r="K1002" s="8" t="s">
        <v>20</v>
      </c>
    </row>
    <row r="1003" customFormat="false" ht="12.8" hidden="false" customHeight="false" outlineLevel="0" collapsed="false">
      <c r="A1003" s="6" t="str">
        <f aca="false">HYPERLINK("https://www.fabsurplus.com/sdi_catalog/salesItemDetails.do?id=99548")</f>
        <v>https://www.fabsurplus.com/sdi_catalog/salesItemDetails.do?id=99548</v>
      </c>
      <c r="B1003" s="6" t="s">
        <v>2468</v>
      </c>
      <c r="C1003" s="6" t="s">
        <v>2446</v>
      </c>
      <c r="D1003" s="6" t="s">
        <v>2469</v>
      </c>
      <c r="E1003" s="6" t="s">
        <v>2470</v>
      </c>
      <c r="F1003" s="6" t="s">
        <v>16</v>
      </c>
      <c r="G1003" s="6" t="s">
        <v>372</v>
      </c>
      <c r="H1003" s="6" t="s">
        <v>18</v>
      </c>
      <c r="I1003" s="7" t="n">
        <v>40725</v>
      </c>
      <c r="J1003" s="6" t="s">
        <v>19</v>
      </c>
      <c r="K1003" s="6" t="s">
        <v>20</v>
      </c>
    </row>
    <row r="1004" customFormat="false" ht="12.8" hidden="false" customHeight="false" outlineLevel="0" collapsed="false">
      <c r="A1004" s="8" t="str">
        <f aca="false">HYPERLINK("https://www.fabsurplus.com/sdi_catalog/salesItemDetails.do?id=100638")</f>
        <v>https://www.fabsurplus.com/sdi_catalog/salesItemDetails.do?id=100638</v>
      </c>
      <c r="B1004" s="8" t="s">
        <v>2471</v>
      </c>
      <c r="C1004" s="8" t="s">
        <v>2446</v>
      </c>
      <c r="D1004" s="8" t="s">
        <v>2472</v>
      </c>
      <c r="E1004" s="8" t="s">
        <v>2448</v>
      </c>
      <c r="F1004" s="8" t="s">
        <v>16</v>
      </c>
      <c r="G1004" s="8"/>
      <c r="H1004" s="8"/>
      <c r="I1004" s="8"/>
      <c r="J1004" s="8" t="s">
        <v>19</v>
      </c>
      <c r="K1004" s="8"/>
    </row>
    <row r="1005" customFormat="false" ht="12.8" hidden="false" customHeight="false" outlineLevel="0" collapsed="false">
      <c r="A1005" s="6" t="str">
        <f aca="false">HYPERLINK("https://www.fabsurplus.com/sdi_catalog/salesItemDetails.do?id=97912")</f>
        <v>https://www.fabsurplus.com/sdi_catalog/salesItemDetails.do?id=97912</v>
      </c>
      <c r="B1005" s="6" t="s">
        <v>2473</v>
      </c>
      <c r="C1005" s="6" t="s">
        <v>2474</v>
      </c>
      <c r="D1005" s="6" t="s">
        <v>2475</v>
      </c>
      <c r="E1005" s="6" t="s">
        <v>2454</v>
      </c>
      <c r="F1005" s="6" t="s">
        <v>611</v>
      </c>
      <c r="G1005" s="6"/>
      <c r="H1005" s="6"/>
      <c r="I1005" s="6"/>
      <c r="J1005" s="6" t="s">
        <v>81</v>
      </c>
      <c r="K1005" s="6"/>
    </row>
    <row r="1006" customFormat="false" ht="12.8" hidden="false" customHeight="false" outlineLevel="0" collapsed="false">
      <c r="A1006" s="6" t="str">
        <f aca="false">HYPERLINK("https://www.fabsurplus.com/sdi_catalog/salesItemDetails.do?id=100639")</f>
        <v>https://www.fabsurplus.com/sdi_catalog/salesItemDetails.do?id=100639</v>
      </c>
      <c r="B1006" s="6" t="s">
        <v>2476</v>
      </c>
      <c r="C1006" s="6" t="s">
        <v>2446</v>
      </c>
      <c r="D1006" s="6" t="s">
        <v>2477</v>
      </c>
      <c r="E1006" s="6" t="s">
        <v>2448</v>
      </c>
      <c r="F1006" s="6" t="s">
        <v>16</v>
      </c>
      <c r="G1006" s="6"/>
      <c r="H1006" s="6"/>
      <c r="I1006" s="6"/>
      <c r="J1006" s="6" t="s">
        <v>19</v>
      </c>
      <c r="K1006" s="6"/>
    </row>
    <row r="1007" customFormat="false" ht="12.8" hidden="false" customHeight="false" outlineLevel="0" collapsed="false">
      <c r="A1007" s="8" t="str">
        <f aca="false">HYPERLINK("https://www.fabsurplus.com/sdi_catalog/salesItemDetails.do?id=97910")</f>
        <v>https://www.fabsurplus.com/sdi_catalog/salesItemDetails.do?id=97910</v>
      </c>
      <c r="B1007" s="8" t="s">
        <v>2478</v>
      </c>
      <c r="C1007" s="8" t="s">
        <v>2474</v>
      </c>
      <c r="D1007" s="8" t="s">
        <v>2479</v>
      </c>
      <c r="E1007" s="8" t="s">
        <v>2454</v>
      </c>
      <c r="F1007" s="8" t="s">
        <v>16</v>
      </c>
      <c r="G1007" s="8" t="s">
        <v>1455</v>
      </c>
      <c r="H1007" s="8" t="s">
        <v>33</v>
      </c>
      <c r="I1007" s="9" t="n">
        <v>38504</v>
      </c>
      <c r="J1007" s="8" t="s">
        <v>19</v>
      </c>
      <c r="K1007" s="8" t="s">
        <v>20</v>
      </c>
    </row>
    <row r="1008" customFormat="false" ht="12.8" hidden="false" customHeight="false" outlineLevel="0" collapsed="false">
      <c r="A1008" s="8" t="str">
        <f aca="false">HYPERLINK("https://www.fabsurplus.com/sdi_catalog/salesItemDetails.do?id=100853")</f>
        <v>https://www.fabsurplus.com/sdi_catalog/salesItemDetails.do?id=100853</v>
      </c>
      <c r="B1008" s="8" t="s">
        <v>2480</v>
      </c>
      <c r="C1008" s="8" t="s">
        <v>2446</v>
      </c>
      <c r="D1008" s="8" t="s">
        <v>2481</v>
      </c>
      <c r="E1008" s="8" t="s">
        <v>2448</v>
      </c>
      <c r="F1008" s="8" t="s">
        <v>16</v>
      </c>
      <c r="G1008" s="8" t="s">
        <v>32</v>
      </c>
      <c r="H1008" s="8"/>
      <c r="I1008" s="9" t="n">
        <v>40695</v>
      </c>
      <c r="J1008" s="8" t="s">
        <v>19</v>
      </c>
      <c r="K1008" s="8"/>
    </row>
    <row r="1009" customFormat="false" ht="12.8" hidden="false" customHeight="false" outlineLevel="0" collapsed="false">
      <c r="A1009" s="8" t="str">
        <f aca="false">HYPERLINK("https://www.fabsurplus.com/sdi_catalog/salesItemDetails.do?id=99849")</f>
        <v>https://www.fabsurplus.com/sdi_catalog/salesItemDetails.do?id=99849</v>
      </c>
      <c r="B1009" s="8" t="s">
        <v>2482</v>
      </c>
      <c r="C1009" s="8" t="s">
        <v>2446</v>
      </c>
      <c r="D1009" s="8" t="s">
        <v>2483</v>
      </c>
      <c r="E1009" s="8" t="s">
        <v>2484</v>
      </c>
      <c r="F1009" s="8" t="s">
        <v>16</v>
      </c>
      <c r="G1009" s="8"/>
      <c r="H1009" s="8"/>
      <c r="I1009" s="8"/>
      <c r="J1009" s="8" t="s">
        <v>81</v>
      </c>
      <c r="K1009" s="8"/>
    </row>
    <row r="1010" customFormat="false" ht="12.8" hidden="false" customHeight="false" outlineLevel="0" collapsed="false">
      <c r="A1010" s="8" t="str">
        <f aca="false">HYPERLINK("https://www.fabsurplus.com/sdi_catalog/salesItemDetails.do?id=99980")</f>
        <v>https://www.fabsurplus.com/sdi_catalog/salesItemDetails.do?id=99980</v>
      </c>
      <c r="B1010" s="8" t="s">
        <v>2485</v>
      </c>
      <c r="C1010" s="8" t="s">
        <v>2446</v>
      </c>
      <c r="D1010" s="8" t="s">
        <v>2486</v>
      </c>
      <c r="E1010" s="8" t="s">
        <v>2487</v>
      </c>
      <c r="F1010" s="8" t="s">
        <v>16</v>
      </c>
      <c r="G1010" s="8" t="s">
        <v>697</v>
      </c>
      <c r="H1010" s="8"/>
      <c r="I1010" s="9" t="n">
        <v>36312</v>
      </c>
      <c r="J1010" s="8" t="s">
        <v>19</v>
      </c>
      <c r="K1010" s="8"/>
    </row>
    <row r="1011" customFormat="false" ht="12.8" hidden="false" customHeight="false" outlineLevel="0" collapsed="false">
      <c r="A1011" s="6" t="str">
        <f aca="false">HYPERLINK("https://www.fabsurplus.com/sdi_catalog/salesItemDetails.do?id=99850")</f>
        <v>https://www.fabsurplus.com/sdi_catalog/salesItemDetails.do?id=99850</v>
      </c>
      <c r="B1011" s="6" t="s">
        <v>2488</v>
      </c>
      <c r="C1011" s="6" t="s">
        <v>2446</v>
      </c>
      <c r="D1011" s="6" t="s">
        <v>2486</v>
      </c>
      <c r="E1011" s="6" t="s">
        <v>2489</v>
      </c>
      <c r="F1011" s="6" t="s">
        <v>16</v>
      </c>
      <c r="G1011" s="6" t="s">
        <v>32</v>
      </c>
      <c r="H1011" s="6"/>
      <c r="I1011" s="7" t="n">
        <v>36557</v>
      </c>
      <c r="J1011" s="6" t="s">
        <v>81</v>
      </c>
      <c r="K1011" s="6"/>
    </row>
    <row r="1012" customFormat="false" ht="12.8" hidden="false" customHeight="false" outlineLevel="0" collapsed="false">
      <c r="A1012" s="8" t="str">
        <f aca="false">HYPERLINK("https://www.fabsurplus.com/sdi_catalog/salesItemDetails.do?id=97913")</f>
        <v>https://www.fabsurplus.com/sdi_catalog/salesItemDetails.do?id=97913</v>
      </c>
      <c r="B1012" s="8" t="s">
        <v>2490</v>
      </c>
      <c r="C1012" s="8" t="s">
        <v>2474</v>
      </c>
      <c r="D1012" s="8" t="s">
        <v>2491</v>
      </c>
      <c r="E1012" s="8" t="s">
        <v>2492</v>
      </c>
      <c r="F1012" s="8" t="s">
        <v>16</v>
      </c>
      <c r="G1012" s="8" t="s">
        <v>1455</v>
      </c>
      <c r="H1012" s="8"/>
      <c r="I1012" s="8"/>
      <c r="J1012" s="8" t="s">
        <v>81</v>
      </c>
      <c r="K1012" s="8"/>
    </row>
    <row r="1013" customFormat="false" ht="12.8" hidden="false" customHeight="false" outlineLevel="0" collapsed="false">
      <c r="A1013" s="8" t="str">
        <f aca="false">HYPERLINK("https://www.fabsurplus.com/sdi_catalog/salesItemDetails.do?id=100114")</f>
        <v>https://www.fabsurplus.com/sdi_catalog/salesItemDetails.do?id=100114</v>
      </c>
      <c r="B1013" s="8" t="s">
        <v>2493</v>
      </c>
      <c r="C1013" s="8" t="s">
        <v>2446</v>
      </c>
      <c r="D1013" s="8" t="s">
        <v>2494</v>
      </c>
      <c r="E1013" s="8" t="s">
        <v>2495</v>
      </c>
      <c r="F1013" s="8" t="s">
        <v>16</v>
      </c>
      <c r="G1013" s="8" t="s">
        <v>686</v>
      </c>
      <c r="H1013" s="8"/>
      <c r="I1013" s="9" t="n">
        <v>42887</v>
      </c>
      <c r="J1013" s="8" t="s">
        <v>19</v>
      </c>
      <c r="K1013" s="8"/>
    </row>
    <row r="1014" customFormat="false" ht="12.8" hidden="false" customHeight="false" outlineLevel="0" collapsed="false">
      <c r="A1014" s="8" t="str">
        <f aca="false">HYPERLINK("https://www.fabsurplus.com/sdi_catalog/salesItemDetails.do?id=100703")</f>
        <v>https://www.fabsurplus.com/sdi_catalog/salesItemDetails.do?id=100703</v>
      </c>
      <c r="B1014" s="8" t="s">
        <v>2496</v>
      </c>
      <c r="C1014" s="8" t="s">
        <v>2446</v>
      </c>
      <c r="D1014" s="8" t="s">
        <v>2497</v>
      </c>
      <c r="E1014" s="8" t="s">
        <v>2495</v>
      </c>
      <c r="F1014" s="8" t="s">
        <v>611</v>
      </c>
      <c r="G1014" s="8" t="s">
        <v>2498</v>
      </c>
      <c r="H1014" s="8" t="s">
        <v>33</v>
      </c>
      <c r="I1014" s="9" t="n">
        <v>40695</v>
      </c>
      <c r="J1014" s="8" t="s">
        <v>19</v>
      </c>
      <c r="K1014" s="8" t="s">
        <v>20</v>
      </c>
    </row>
    <row r="1015" customFormat="false" ht="12.8" hidden="false" customHeight="false" outlineLevel="0" collapsed="false">
      <c r="A1015" s="6" t="str">
        <f aca="false">HYPERLINK("https://www.fabsurplus.com/sdi_catalog/salesItemDetails.do?id=97914")</f>
        <v>https://www.fabsurplus.com/sdi_catalog/salesItemDetails.do?id=97914</v>
      </c>
      <c r="B1015" s="6" t="s">
        <v>2499</v>
      </c>
      <c r="C1015" s="6" t="s">
        <v>2474</v>
      </c>
      <c r="D1015" s="6" t="s">
        <v>2500</v>
      </c>
      <c r="E1015" s="6" t="s">
        <v>2501</v>
      </c>
      <c r="F1015" s="6" t="s">
        <v>16</v>
      </c>
      <c r="G1015" s="6" t="s">
        <v>2501</v>
      </c>
      <c r="H1015" s="6" t="s">
        <v>33</v>
      </c>
      <c r="I1015" s="6"/>
      <c r="J1015" s="6" t="s">
        <v>81</v>
      </c>
      <c r="K1015" s="6" t="s">
        <v>20</v>
      </c>
    </row>
    <row r="1016" customFormat="false" ht="12.8" hidden="false" customHeight="false" outlineLevel="0" collapsed="false">
      <c r="A1016" s="8" t="str">
        <f aca="false">HYPERLINK("https://www.fabsurplus.com/sdi_catalog/salesItemDetails.do?id=97915")</f>
        <v>https://www.fabsurplus.com/sdi_catalog/salesItemDetails.do?id=97915</v>
      </c>
      <c r="B1016" s="8" t="s">
        <v>2502</v>
      </c>
      <c r="C1016" s="8" t="s">
        <v>2474</v>
      </c>
      <c r="D1016" s="8" t="s">
        <v>2503</v>
      </c>
      <c r="E1016" s="8" t="s">
        <v>2501</v>
      </c>
      <c r="F1016" s="8" t="s">
        <v>611</v>
      </c>
      <c r="G1016" s="8" t="s">
        <v>2501</v>
      </c>
      <c r="H1016" s="8"/>
      <c r="I1016" s="8"/>
      <c r="J1016" s="8" t="s">
        <v>81</v>
      </c>
      <c r="K1016" s="8"/>
    </row>
    <row r="1017" customFormat="false" ht="12.8" hidden="false" customHeight="false" outlineLevel="0" collapsed="false">
      <c r="A1017" s="6" t="str">
        <f aca="false">HYPERLINK("https://www.fabsurplus.com/sdi_catalog/salesItemDetails.do?id=98387")</f>
        <v>https://www.fabsurplus.com/sdi_catalog/salesItemDetails.do?id=98387</v>
      </c>
      <c r="B1017" s="6" t="s">
        <v>2504</v>
      </c>
      <c r="C1017" s="6" t="s">
        <v>2505</v>
      </c>
      <c r="D1017" s="6" t="s">
        <v>2506</v>
      </c>
      <c r="E1017" s="6" t="s">
        <v>2448</v>
      </c>
      <c r="F1017" s="6" t="s">
        <v>611</v>
      </c>
      <c r="G1017" s="6" t="s">
        <v>372</v>
      </c>
      <c r="H1017" s="6" t="s">
        <v>18</v>
      </c>
      <c r="I1017" s="7" t="n">
        <v>31444</v>
      </c>
      <c r="J1017" s="6" t="s">
        <v>19</v>
      </c>
      <c r="K1017" s="6" t="s">
        <v>20</v>
      </c>
    </row>
    <row r="1018" customFormat="false" ht="12.8" hidden="false" customHeight="false" outlineLevel="0" collapsed="false">
      <c r="A1018" s="8" t="str">
        <f aca="false">HYPERLINK("https://www.fabsurplus.com/sdi_catalog/salesItemDetails.do?id=98103")</f>
        <v>https://www.fabsurplus.com/sdi_catalog/salesItemDetails.do?id=98103</v>
      </c>
      <c r="B1018" s="8" t="s">
        <v>2507</v>
      </c>
      <c r="C1018" s="8" t="s">
        <v>2508</v>
      </c>
      <c r="D1018" s="8" t="s">
        <v>2509</v>
      </c>
      <c r="E1018" s="8" t="s">
        <v>2510</v>
      </c>
      <c r="F1018" s="8" t="s">
        <v>16</v>
      </c>
      <c r="G1018" s="8" t="s">
        <v>32</v>
      </c>
      <c r="H1018" s="8"/>
      <c r="I1018" s="9" t="n">
        <v>35582</v>
      </c>
      <c r="J1018" s="8" t="s">
        <v>19</v>
      </c>
      <c r="K1018" s="8"/>
    </row>
    <row r="1019" customFormat="false" ht="12.8" hidden="false" customHeight="false" outlineLevel="0" collapsed="false">
      <c r="A1019" s="6" t="str">
        <f aca="false">HYPERLINK("https://www.fabsurplus.com/sdi_catalog/salesItemDetails.do?id=98104")</f>
        <v>https://www.fabsurplus.com/sdi_catalog/salesItemDetails.do?id=98104</v>
      </c>
      <c r="B1019" s="6" t="s">
        <v>2511</v>
      </c>
      <c r="C1019" s="6" t="s">
        <v>2508</v>
      </c>
      <c r="D1019" s="6" t="s">
        <v>2509</v>
      </c>
      <c r="E1019" s="6" t="s">
        <v>2512</v>
      </c>
      <c r="F1019" s="6" t="s">
        <v>16</v>
      </c>
      <c r="G1019" s="6" t="s">
        <v>32</v>
      </c>
      <c r="H1019" s="6"/>
      <c r="I1019" s="7" t="n">
        <v>35582</v>
      </c>
      <c r="J1019" s="6" t="s">
        <v>19</v>
      </c>
      <c r="K1019" s="6"/>
    </row>
    <row r="1020" customFormat="false" ht="12.8" hidden="false" customHeight="false" outlineLevel="0" collapsed="false">
      <c r="A1020" s="6" t="str">
        <f aca="false">HYPERLINK("https://www.fabsurplus.com/sdi_catalog/salesItemDetails.do?id=100776")</f>
        <v>https://www.fabsurplus.com/sdi_catalog/salesItemDetails.do?id=100776</v>
      </c>
      <c r="B1020" s="6" t="s">
        <v>2513</v>
      </c>
      <c r="C1020" s="6" t="s">
        <v>2508</v>
      </c>
      <c r="D1020" s="6" t="s">
        <v>2514</v>
      </c>
      <c r="E1020" s="6" t="s">
        <v>2515</v>
      </c>
      <c r="F1020" s="6" t="s">
        <v>16</v>
      </c>
      <c r="G1020" s="6" t="s">
        <v>32</v>
      </c>
      <c r="H1020" s="6"/>
      <c r="I1020" s="6"/>
      <c r="J1020" s="6" t="s">
        <v>81</v>
      </c>
      <c r="K1020" s="6"/>
    </row>
    <row r="1021" customFormat="false" ht="12.8" hidden="false" customHeight="false" outlineLevel="0" collapsed="false">
      <c r="A1021" s="8" t="str">
        <f aca="false">HYPERLINK("https://www.fabsurplus.com/sdi_catalog/salesItemDetails.do?id=100775")</f>
        <v>https://www.fabsurplus.com/sdi_catalog/salesItemDetails.do?id=100775</v>
      </c>
      <c r="B1021" s="8" t="s">
        <v>2516</v>
      </c>
      <c r="C1021" s="8" t="s">
        <v>2508</v>
      </c>
      <c r="D1021" s="8" t="s">
        <v>2514</v>
      </c>
      <c r="E1021" s="8" t="s">
        <v>2515</v>
      </c>
      <c r="F1021" s="8" t="s">
        <v>16</v>
      </c>
      <c r="G1021" s="8" t="s">
        <v>32</v>
      </c>
      <c r="H1021" s="8"/>
      <c r="I1021" s="8"/>
      <c r="J1021" s="8" t="s">
        <v>81</v>
      </c>
      <c r="K1021" s="8"/>
    </row>
    <row r="1022" customFormat="false" ht="12.8" hidden="false" customHeight="false" outlineLevel="0" collapsed="false">
      <c r="A1022" s="6" t="str">
        <f aca="false">HYPERLINK("https://www.fabsurplus.com/sdi_catalog/salesItemDetails.do?id=100774")</f>
        <v>https://www.fabsurplus.com/sdi_catalog/salesItemDetails.do?id=100774</v>
      </c>
      <c r="B1022" s="6" t="s">
        <v>2517</v>
      </c>
      <c r="C1022" s="6" t="s">
        <v>2508</v>
      </c>
      <c r="D1022" s="6" t="s">
        <v>2514</v>
      </c>
      <c r="E1022" s="6" t="s">
        <v>2515</v>
      </c>
      <c r="F1022" s="6" t="s">
        <v>16</v>
      </c>
      <c r="G1022" s="6" t="s">
        <v>32</v>
      </c>
      <c r="H1022" s="6"/>
      <c r="I1022" s="6"/>
      <c r="J1022" s="6" t="s">
        <v>81</v>
      </c>
      <c r="K1022" s="6"/>
    </row>
    <row r="1023" customFormat="false" ht="12.8" hidden="false" customHeight="false" outlineLevel="0" collapsed="false">
      <c r="A1023" s="6" t="str">
        <f aca="false">HYPERLINK("https://www.fabsurplus.com/sdi_catalog/salesItemDetails.do?id=100116")</f>
        <v>https://www.fabsurplus.com/sdi_catalog/salesItemDetails.do?id=100116</v>
      </c>
      <c r="B1023" s="6" t="s">
        <v>2518</v>
      </c>
      <c r="C1023" s="6" t="s">
        <v>2508</v>
      </c>
      <c r="D1023" s="6" t="s">
        <v>2519</v>
      </c>
      <c r="E1023" s="6" t="s">
        <v>2520</v>
      </c>
      <c r="F1023" s="6" t="s">
        <v>16</v>
      </c>
      <c r="G1023" s="6" t="s">
        <v>686</v>
      </c>
      <c r="H1023" s="6"/>
      <c r="I1023" s="6"/>
      <c r="J1023" s="6" t="s">
        <v>19</v>
      </c>
      <c r="K1023" s="6"/>
    </row>
    <row r="1024" customFormat="false" ht="12.8" hidden="false" customHeight="false" outlineLevel="0" collapsed="false">
      <c r="A1024" s="8" t="str">
        <f aca="false">HYPERLINK("https://www.fabsurplus.com/sdi_catalog/salesItemDetails.do?id=100115")</f>
        <v>https://www.fabsurplus.com/sdi_catalog/salesItemDetails.do?id=100115</v>
      </c>
      <c r="B1024" s="8" t="s">
        <v>2521</v>
      </c>
      <c r="C1024" s="8" t="s">
        <v>2508</v>
      </c>
      <c r="D1024" s="8" t="s">
        <v>2519</v>
      </c>
      <c r="E1024" s="8" t="s">
        <v>2520</v>
      </c>
      <c r="F1024" s="8" t="s">
        <v>16</v>
      </c>
      <c r="G1024" s="8" t="s">
        <v>686</v>
      </c>
      <c r="H1024" s="8"/>
      <c r="I1024" s="9" t="n">
        <v>38626</v>
      </c>
      <c r="J1024" s="8" t="s">
        <v>19</v>
      </c>
      <c r="K1024" s="8"/>
    </row>
    <row r="1025" customFormat="false" ht="12.8" hidden="false" customHeight="false" outlineLevel="0" collapsed="false">
      <c r="A1025" s="6" t="str">
        <f aca="false">HYPERLINK("https://www.fabsurplus.com/sdi_catalog/salesItemDetails.do?id=100773")</f>
        <v>https://www.fabsurplus.com/sdi_catalog/salesItemDetails.do?id=100773</v>
      </c>
      <c r="B1025" s="6" t="s">
        <v>2522</v>
      </c>
      <c r="C1025" s="6" t="s">
        <v>2508</v>
      </c>
      <c r="D1025" s="6" t="s">
        <v>2523</v>
      </c>
      <c r="E1025" s="6" t="s">
        <v>2515</v>
      </c>
      <c r="F1025" s="6" t="s">
        <v>16</v>
      </c>
      <c r="G1025" s="6" t="s">
        <v>310</v>
      </c>
      <c r="H1025" s="6"/>
      <c r="I1025" s="6"/>
      <c r="J1025" s="6" t="s">
        <v>81</v>
      </c>
      <c r="K1025" s="6"/>
    </row>
    <row r="1026" customFormat="false" ht="12.8" hidden="false" customHeight="false" outlineLevel="0" collapsed="false">
      <c r="A1026" s="8" t="str">
        <f aca="false">HYPERLINK("https://www.fabsurplus.com/sdi_catalog/salesItemDetails.do?id=98572")</f>
        <v>https://www.fabsurplus.com/sdi_catalog/salesItemDetails.do?id=98572</v>
      </c>
      <c r="B1026" s="8" t="s">
        <v>2524</v>
      </c>
      <c r="C1026" s="8" t="s">
        <v>2508</v>
      </c>
      <c r="D1026" s="8" t="s">
        <v>2525</v>
      </c>
      <c r="E1026" s="8" t="s">
        <v>2526</v>
      </c>
      <c r="F1026" s="8" t="s">
        <v>16</v>
      </c>
      <c r="G1026" s="8" t="s">
        <v>310</v>
      </c>
      <c r="H1026" s="8"/>
      <c r="I1026" s="8"/>
      <c r="J1026" s="8" t="s">
        <v>19</v>
      </c>
      <c r="K1026" s="8"/>
    </row>
    <row r="1027" customFormat="false" ht="12.8" hidden="false" customHeight="false" outlineLevel="0" collapsed="false">
      <c r="A1027" s="6" t="str">
        <f aca="false">HYPERLINK("https://www.fabsurplus.com/sdi_catalog/salesItemDetails.do?id=100850")</f>
        <v>https://www.fabsurplus.com/sdi_catalog/salesItemDetails.do?id=100850</v>
      </c>
      <c r="B1027" s="6" t="s">
        <v>2527</v>
      </c>
      <c r="C1027" s="6" t="s">
        <v>2508</v>
      </c>
      <c r="D1027" s="6" t="s">
        <v>2528</v>
      </c>
      <c r="E1027" s="6" t="s">
        <v>2529</v>
      </c>
      <c r="F1027" s="6" t="s">
        <v>16</v>
      </c>
      <c r="G1027" s="6" t="s">
        <v>32</v>
      </c>
      <c r="H1027" s="6"/>
      <c r="I1027" s="7" t="n">
        <v>36678</v>
      </c>
      <c r="J1027" s="6" t="s">
        <v>19</v>
      </c>
      <c r="K1027" s="6"/>
    </row>
    <row r="1028" customFormat="false" ht="12.8" hidden="false" customHeight="false" outlineLevel="0" collapsed="false">
      <c r="A1028" s="6" t="str">
        <f aca="false">HYPERLINK("https://www.fabsurplus.com/sdi_catalog/salesItemDetails.do?id=100851")</f>
        <v>https://www.fabsurplus.com/sdi_catalog/salesItemDetails.do?id=100851</v>
      </c>
      <c r="B1028" s="6" t="s">
        <v>2530</v>
      </c>
      <c r="C1028" s="6" t="s">
        <v>2508</v>
      </c>
      <c r="D1028" s="6" t="s">
        <v>2531</v>
      </c>
      <c r="E1028" s="6" t="s">
        <v>2529</v>
      </c>
      <c r="F1028" s="6" t="s">
        <v>16</v>
      </c>
      <c r="G1028" s="6" t="s">
        <v>32</v>
      </c>
      <c r="H1028" s="6"/>
      <c r="I1028" s="7" t="n">
        <v>37043</v>
      </c>
      <c r="J1028" s="6" t="s">
        <v>19</v>
      </c>
      <c r="K1028" s="6"/>
    </row>
    <row r="1029" customFormat="false" ht="12.8" hidden="false" customHeight="false" outlineLevel="0" collapsed="false">
      <c r="A1029" s="8" t="str">
        <f aca="false">HYPERLINK("https://www.fabsurplus.com/sdi_catalog/salesItemDetails.do?id=100852")</f>
        <v>https://www.fabsurplus.com/sdi_catalog/salesItemDetails.do?id=100852</v>
      </c>
      <c r="B1029" s="8" t="s">
        <v>2532</v>
      </c>
      <c r="C1029" s="8" t="s">
        <v>2508</v>
      </c>
      <c r="D1029" s="8" t="s">
        <v>2533</v>
      </c>
      <c r="E1029" s="8" t="s">
        <v>2529</v>
      </c>
      <c r="F1029" s="8" t="s">
        <v>16</v>
      </c>
      <c r="G1029" s="8" t="s">
        <v>32</v>
      </c>
      <c r="H1029" s="8"/>
      <c r="I1029" s="9" t="n">
        <v>36678</v>
      </c>
      <c r="J1029" s="8" t="s">
        <v>19</v>
      </c>
      <c r="K1029" s="8"/>
    </row>
    <row r="1030" customFormat="false" ht="12.8" hidden="false" customHeight="false" outlineLevel="0" collapsed="false">
      <c r="A1030" s="8" t="str">
        <f aca="false">HYPERLINK("https://www.fabsurplus.com/sdi_catalog/salesItemDetails.do?id=97998")</f>
        <v>https://www.fabsurplus.com/sdi_catalog/salesItemDetails.do?id=97998</v>
      </c>
      <c r="B1030" s="8" t="s">
        <v>2534</v>
      </c>
      <c r="C1030" s="8" t="s">
        <v>2508</v>
      </c>
      <c r="D1030" s="8" t="s">
        <v>2535</v>
      </c>
      <c r="E1030" s="8" t="s">
        <v>2536</v>
      </c>
      <c r="F1030" s="8" t="s">
        <v>16</v>
      </c>
      <c r="G1030" s="8" t="s">
        <v>32</v>
      </c>
      <c r="H1030" s="8"/>
      <c r="I1030" s="8"/>
      <c r="J1030" s="8" t="s">
        <v>19</v>
      </c>
      <c r="K1030" s="8"/>
    </row>
    <row r="1031" customFormat="false" ht="12.8" hidden="false" customHeight="false" outlineLevel="0" collapsed="false">
      <c r="A1031" s="8" t="str">
        <f aca="false">HYPERLINK("https://www.fabsurplus.com/sdi_catalog/salesItemDetails.do?id=98459")</f>
        <v>https://www.fabsurplus.com/sdi_catalog/salesItemDetails.do?id=98459</v>
      </c>
      <c r="B1031" s="8" t="s">
        <v>2537</v>
      </c>
      <c r="C1031" s="8" t="s">
        <v>2508</v>
      </c>
      <c r="D1031" s="8" t="s">
        <v>2538</v>
      </c>
      <c r="E1031" s="8" t="s">
        <v>2539</v>
      </c>
      <c r="F1031" s="8" t="s">
        <v>2540</v>
      </c>
      <c r="G1031" s="8" t="s">
        <v>697</v>
      </c>
      <c r="H1031" s="8"/>
      <c r="I1031" s="8"/>
      <c r="J1031" s="8" t="s">
        <v>19</v>
      </c>
      <c r="K1031" s="8"/>
    </row>
    <row r="1032" customFormat="false" ht="12.8" hidden="false" customHeight="false" outlineLevel="0" collapsed="false">
      <c r="A1032" s="6" t="str">
        <f aca="false">HYPERLINK("https://www.fabsurplus.com/sdi_catalog/salesItemDetails.do?id=99981")</f>
        <v>https://www.fabsurplus.com/sdi_catalog/salesItemDetails.do?id=99981</v>
      </c>
      <c r="B1032" s="6" t="s">
        <v>2541</v>
      </c>
      <c r="C1032" s="6" t="s">
        <v>2508</v>
      </c>
      <c r="D1032" s="6" t="s">
        <v>2542</v>
      </c>
      <c r="E1032" s="6" t="s">
        <v>2543</v>
      </c>
      <c r="F1032" s="6" t="s">
        <v>16</v>
      </c>
      <c r="G1032" s="6" t="s">
        <v>686</v>
      </c>
      <c r="H1032" s="6"/>
      <c r="I1032" s="6"/>
      <c r="J1032" s="6" t="s">
        <v>19</v>
      </c>
      <c r="K1032" s="6"/>
    </row>
    <row r="1033" customFormat="false" ht="12.8" hidden="false" customHeight="false" outlineLevel="0" collapsed="false">
      <c r="A1033" s="8" t="str">
        <f aca="false">HYPERLINK("https://www.fabsurplus.com/sdi_catalog/salesItemDetails.do?id=98807")</f>
        <v>https://www.fabsurplus.com/sdi_catalog/salesItemDetails.do?id=98807</v>
      </c>
      <c r="B1033" s="8" t="s">
        <v>2544</v>
      </c>
      <c r="C1033" s="8" t="s">
        <v>2508</v>
      </c>
      <c r="D1033" s="8" t="s">
        <v>2545</v>
      </c>
      <c r="E1033" s="8" t="s">
        <v>2400</v>
      </c>
      <c r="F1033" s="8" t="s">
        <v>16</v>
      </c>
      <c r="G1033" s="8" t="s">
        <v>310</v>
      </c>
      <c r="H1033" s="8"/>
      <c r="I1033" s="9" t="n">
        <v>40087</v>
      </c>
      <c r="J1033" s="8" t="s">
        <v>19</v>
      </c>
      <c r="K1033" s="8"/>
    </row>
    <row r="1034" customFormat="false" ht="12.8" hidden="false" customHeight="false" outlineLevel="0" collapsed="false">
      <c r="A1034" s="8" t="str">
        <f aca="false">HYPERLINK("https://www.fabsurplus.com/sdi_catalog/salesItemDetails.do?id=100117")</f>
        <v>https://www.fabsurplus.com/sdi_catalog/salesItemDetails.do?id=100117</v>
      </c>
      <c r="B1034" s="8" t="s">
        <v>2546</v>
      </c>
      <c r="C1034" s="8" t="s">
        <v>2508</v>
      </c>
      <c r="D1034" s="8" t="s">
        <v>2547</v>
      </c>
      <c r="E1034" s="8" t="s">
        <v>2548</v>
      </c>
      <c r="F1034" s="8" t="s">
        <v>16</v>
      </c>
      <c r="G1034" s="8" t="s">
        <v>686</v>
      </c>
      <c r="H1034" s="8"/>
      <c r="I1034" s="9" t="n">
        <v>41548</v>
      </c>
      <c r="J1034" s="8" t="s">
        <v>19</v>
      </c>
      <c r="K1034" s="8"/>
    </row>
    <row r="1035" customFormat="false" ht="12.8" hidden="false" customHeight="false" outlineLevel="0" collapsed="false">
      <c r="A1035" s="6" t="str">
        <f aca="false">HYPERLINK("https://www.fabsurplus.com/sdi_catalog/salesItemDetails.do?id=99134")</f>
        <v>https://www.fabsurplus.com/sdi_catalog/salesItemDetails.do?id=99134</v>
      </c>
      <c r="B1035" s="6" t="s">
        <v>2549</v>
      </c>
      <c r="C1035" s="6" t="s">
        <v>2508</v>
      </c>
      <c r="D1035" s="6" t="s">
        <v>2547</v>
      </c>
      <c r="E1035" s="6" t="s">
        <v>2548</v>
      </c>
      <c r="F1035" s="6" t="s">
        <v>16</v>
      </c>
      <c r="G1035" s="6" t="s">
        <v>686</v>
      </c>
      <c r="H1035" s="6"/>
      <c r="I1035" s="6"/>
      <c r="J1035" s="6" t="s">
        <v>19</v>
      </c>
      <c r="K1035" s="6"/>
    </row>
    <row r="1036" customFormat="false" ht="12.8" hidden="false" customHeight="false" outlineLevel="0" collapsed="false">
      <c r="A1036" s="8" t="str">
        <f aca="false">HYPERLINK("https://www.fabsurplus.com/sdi_catalog/salesItemDetails.do?id=99133")</f>
        <v>https://www.fabsurplus.com/sdi_catalog/salesItemDetails.do?id=99133</v>
      </c>
      <c r="B1036" s="8" t="s">
        <v>2550</v>
      </c>
      <c r="C1036" s="8" t="s">
        <v>2508</v>
      </c>
      <c r="D1036" s="8" t="s">
        <v>2547</v>
      </c>
      <c r="E1036" s="8" t="s">
        <v>2548</v>
      </c>
      <c r="F1036" s="8" t="s">
        <v>16</v>
      </c>
      <c r="G1036" s="8" t="s">
        <v>686</v>
      </c>
      <c r="H1036" s="8"/>
      <c r="I1036" s="8"/>
      <c r="J1036" s="8" t="s">
        <v>19</v>
      </c>
      <c r="K1036" s="8"/>
    </row>
    <row r="1037" customFormat="false" ht="12.8" hidden="false" customHeight="false" outlineLevel="0" collapsed="false">
      <c r="A1037" s="6" t="str">
        <f aca="false">HYPERLINK("https://www.fabsurplus.com/sdi_catalog/salesItemDetails.do?id=99132")</f>
        <v>https://www.fabsurplus.com/sdi_catalog/salesItemDetails.do?id=99132</v>
      </c>
      <c r="B1037" s="6" t="s">
        <v>2551</v>
      </c>
      <c r="C1037" s="6" t="s">
        <v>2508</v>
      </c>
      <c r="D1037" s="6" t="s">
        <v>2547</v>
      </c>
      <c r="E1037" s="6" t="s">
        <v>2548</v>
      </c>
      <c r="F1037" s="6" t="s">
        <v>16</v>
      </c>
      <c r="G1037" s="6" t="s">
        <v>686</v>
      </c>
      <c r="H1037" s="6"/>
      <c r="I1037" s="7" t="n">
        <v>41548</v>
      </c>
      <c r="J1037" s="6" t="s">
        <v>19</v>
      </c>
      <c r="K1037" s="6"/>
    </row>
    <row r="1038" customFormat="false" ht="12.8" hidden="false" customHeight="false" outlineLevel="0" collapsed="false">
      <c r="A1038" s="6" t="str">
        <f aca="false">HYPERLINK("https://www.fabsurplus.com/sdi_catalog/salesItemDetails.do?id=98268")</f>
        <v>https://www.fabsurplus.com/sdi_catalog/salesItemDetails.do?id=98268</v>
      </c>
      <c r="B1038" s="6" t="s">
        <v>2552</v>
      </c>
      <c r="C1038" s="6" t="s">
        <v>2508</v>
      </c>
      <c r="D1038" s="6" t="s">
        <v>2553</v>
      </c>
      <c r="E1038" s="6" t="s">
        <v>2554</v>
      </c>
      <c r="F1038" s="6" t="s">
        <v>16</v>
      </c>
      <c r="G1038" s="6" t="s">
        <v>310</v>
      </c>
      <c r="H1038" s="6"/>
      <c r="I1038" s="6"/>
      <c r="J1038" s="6" t="s">
        <v>19</v>
      </c>
      <c r="K1038" s="6"/>
    </row>
    <row r="1039" customFormat="false" ht="12.8" hidden="false" customHeight="false" outlineLevel="0" collapsed="false">
      <c r="A1039" s="8" t="str">
        <f aca="false">HYPERLINK("https://www.fabsurplus.com/sdi_catalog/salesItemDetails.do?id=99982")</f>
        <v>https://www.fabsurplus.com/sdi_catalog/salesItemDetails.do?id=99982</v>
      </c>
      <c r="B1039" s="8" t="s">
        <v>2555</v>
      </c>
      <c r="C1039" s="8" t="s">
        <v>2508</v>
      </c>
      <c r="D1039" s="8" t="s">
        <v>2556</v>
      </c>
      <c r="E1039" s="8" t="s">
        <v>2548</v>
      </c>
      <c r="F1039" s="8" t="s">
        <v>16</v>
      </c>
      <c r="G1039" s="8" t="s">
        <v>697</v>
      </c>
      <c r="H1039" s="8"/>
      <c r="I1039" s="9" t="n">
        <v>34851</v>
      </c>
      <c r="J1039" s="8" t="s">
        <v>19</v>
      </c>
      <c r="K1039" s="8"/>
    </row>
    <row r="1040" customFormat="false" ht="12.8" hidden="false" customHeight="false" outlineLevel="0" collapsed="false">
      <c r="A1040" s="6" t="str">
        <f aca="false">HYPERLINK("https://www.fabsurplus.com/sdi_catalog/salesItemDetails.do?id=99983")</f>
        <v>https://www.fabsurplus.com/sdi_catalog/salesItemDetails.do?id=99983</v>
      </c>
      <c r="B1040" s="6" t="s">
        <v>2557</v>
      </c>
      <c r="C1040" s="6" t="s">
        <v>2508</v>
      </c>
      <c r="D1040" s="6" t="s">
        <v>2558</v>
      </c>
      <c r="E1040" s="6" t="s">
        <v>2548</v>
      </c>
      <c r="F1040" s="6" t="s">
        <v>16</v>
      </c>
      <c r="G1040" s="6" t="s">
        <v>697</v>
      </c>
      <c r="H1040" s="6"/>
      <c r="I1040" s="7" t="n">
        <v>35947</v>
      </c>
      <c r="J1040" s="6" t="s">
        <v>19</v>
      </c>
      <c r="K1040" s="6"/>
    </row>
    <row r="1041" customFormat="false" ht="12.8" hidden="false" customHeight="false" outlineLevel="0" collapsed="false">
      <c r="A1041" s="8" t="str">
        <f aca="false">HYPERLINK("https://www.fabsurplus.com/sdi_catalog/salesItemDetails.do?id=100119")</f>
        <v>https://www.fabsurplus.com/sdi_catalog/salesItemDetails.do?id=100119</v>
      </c>
      <c r="B1041" s="8" t="s">
        <v>2559</v>
      </c>
      <c r="C1041" s="8" t="s">
        <v>2508</v>
      </c>
      <c r="D1041" s="8" t="s">
        <v>2560</v>
      </c>
      <c r="E1041" s="8" t="s">
        <v>2561</v>
      </c>
      <c r="F1041" s="8" t="s">
        <v>16</v>
      </c>
      <c r="G1041" s="8" t="s">
        <v>686</v>
      </c>
      <c r="H1041" s="8"/>
      <c r="I1041" s="8"/>
      <c r="J1041" s="8" t="s">
        <v>19</v>
      </c>
      <c r="K1041" s="8"/>
    </row>
    <row r="1042" customFormat="false" ht="12.8" hidden="false" customHeight="false" outlineLevel="0" collapsed="false">
      <c r="A1042" s="8" t="str">
        <f aca="false">HYPERLINK("https://www.fabsurplus.com/sdi_catalog/salesItemDetails.do?id=100118")</f>
        <v>https://www.fabsurplus.com/sdi_catalog/salesItemDetails.do?id=100118</v>
      </c>
      <c r="B1042" s="8" t="s">
        <v>2562</v>
      </c>
      <c r="C1042" s="8" t="s">
        <v>2508</v>
      </c>
      <c r="D1042" s="8" t="s">
        <v>2560</v>
      </c>
      <c r="E1042" s="8" t="s">
        <v>2561</v>
      </c>
      <c r="F1042" s="8" t="s">
        <v>16</v>
      </c>
      <c r="G1042" s="8" t="s">
        <v>686</v>
      </c>
      <c r="H1042" s="8"/>
      <c r="I1042" s="9" t="n">
        <v>39600</v>
      </c>
      <c r="J1042" s="8" t="s">
        <v>19</v>
      </c>
      <c r="K1042" s="8"/>
    </row>
    <row r="1043" customFormat="false" ht="12.8" hidden="false" customHeight="false" outlineLevel="0" collapsed="false">
      <c r="A1043" s="6" t="str">
        <f aca="false">HYPERLINK("https://www.fabsurplus.com/sdi_catalog/salesItemDetails.do?id=97611")</f>
        <v>https://www.fabsurplus.com/sdi_catalog/salesItemDetails.do?id=97611</v>
      </c>
      <c r="B1043" s="6" t="s">
        <v>2563</v>
      </c>
      <c r="C1043" s="6" t="s">
        <v>2508</v>
      </c>
      <c r="D1043" s="6" t="s">
        <v>2560</v>
      </c>
      <c r="E1043" s="6" t="s">
        <v>2561</v>
      </c>
      <c r="F1043" s="6" t="s">
        <v>16</v>
      </c>
      <c r="G1043" s="6" t="s">
        <v>310</v>
      </c>
      <c r="H1043" s="6"/>
      <c r="I1043" s="7" t="n">
        <v>38991</v>
      </c>
      <c r="J1043" s="6" t="s">
        <v>19</v>
      </c>
      <c r="K1043" s="6"/>
    </row>
    <row r="1044" customFormat="false" ht="12.8" hidden="false" customHeight="false" outlineLevel="0" collapsed="false">
      <c r="A1044" s="6" t="str">
        <f aca="false">HYPERLINK("https://www.fabsurplus.com/sdi_catalog/salesItemDetails.do?id=98106")</f>
        <v>https://www.fabsurplus.com/sdi_catalog/salesItemDetails.do?id=98106</v>
      </c>
      <c r="B1044" s="6" t="s">
        <v>2564</v>
      </c>
      <c r="C1044" s="6" t="s">
        <v>2508</v>
      </c>
      <c r="D1044" s="6" t="s">
        <v>2565</v>
      </c>
      <c r="E1044" s="6" t="s">
        <v>2566</v>
      </c>
      <c r="F1044" s="6" t="s">
        <v>16</v>
      </c>
      <c r="G1044" s="6" t="s">
        <v>310</v>
      </c>
      <c r="H1044" s="6"/>
      <c r="I1044" s="7" t="n">
        <v>38139</v>
      </c>
      <c r="J1044" s="6" t="s">
        <v>19</v>
      </c>
      <c r="K1044" s="6"/>
    </row>
    <row r="1045" customFormat="false" ht="12.8" hidden="false" customHeight="false" outlineLevel="0" collapsed="false">
      <c r="A1045" s="8" t="str">
        <f aca="false">HYPERLINK("https://www.fabsurplus.com/sdi_catalog/salesItemDetails.do?id=98105")</f>
        <v>https://www.fabsurplus.com/sdi_catalog/salesItemDetails.do?id=98105</v>
      </c>
      <c r="B1045" s="8" t="s">
        <v>2567</v>
      </c>
      <c r="C1045" s="8" t="s">
        <v>2508</v>
      </c>
      <c r="D1045" s="8" t="s">
        <v>2565</v>
      </c>
      <c r="E1045" s="8" t="s">
        <v>2566</v>
      </c>
      <c r="F1045" s="8" t="s">
        <v>16</v>
      </c>
      <c r="G1045" s="8" t="s">
        <v>310</v>
      </c>
      <c r="H1045" s="8"/>
      <c r="I1045" s="9" t="n">
        <v>39965</v>
      </c>
      <c r="J1045" s="8" t="s">
        <v>19</v>
      </c>
      <c r="K1045" s="8"/>
    </row>
    <row r="1046" customFormat="false" ht="12.8" hidden="false" customHeight="false" outlineLevel="0" collapsed="false">
      <c r="A1046" s="8" t="str">
        <f aca="false">HYPERLINK("https://www.fabsurplus.com/sdi_catalog/salesItemDetails.do?id=100777")</f>
        <v>https://www.fabsurplus.com/sdi_catalog/salesItemDetails.do?id=100777</v>
      </c>
      <c r="B1046" s="8" t="s">
        <v>2568</v>
      </c>
      <c r="C1046" s="8" t="s">
        <v>2508</v>
      </c>
      <c r="D1046" s="8" t="s">
        <v>2565</v>
      </c>
      <c r="E1046" s="8" t="s">
        <v>2515</v>
      </c>
      <c r="F1046" s="8" t="s">
        <v>16</v>
      </c>
      <c r="G1046" s="8" t="s">
        <v>310</v>
      </c>
      <c r="H1046" s="8"/>
      <c r="I1046" s="9" t="n">
        <v>39600</v>
      </c>
      <c r="J1046" s="8" t="s">
        <v>81</v>
      </c>
      <c r="K1046" s="8"/>
    </row>
    <row r="1047" customFormat="false" ht="12.8" hidden="false" customHeight="false" outlineLevel="0" collapsed="false">
      <c r="A1047" s="6" t="str">
        <f aca="false">HYPERLINK("https://www.fabsurplus.com/sdi_catalog/salesItemDetails.do?id=96967")</f>
        <v>https://www.fabsurplus.com/sdi_catalog/salesItemDetails.do?id=96967</v>
      </c>
      <c r="B1047" s="6" t="s">
        <v>2569</v>
      </c>
      <c r="C1047" s="6" t="s">
        <v>2508</v>
      </c>
      <c r="D1047" s="6" t="s">
        <v>2570</v>
      </c>
      <c r="E1047" s="6" t="s">
        <v>2571</v>
      </c>
      <c r="F1047" s="6" t="s">
        <v>16</v>
      </c>
      <c r="G1047" s="6" t="s">
        <v>32</v>
      </c>
      <c r="H1047" s="6" t="s">
        <v>18</v>
      </c>
      <c r="I1047" s="6"/>
      <c r="J1047" s="6" t="s">
        <v>19</v>
      </c>
      <c r="K1047" s="6" t="s">
        <v>20</v>
      </c>
    </row>
    <row r="1048" customFormat="false" ht="12.8" hidden="false" customHeight="false" outlineLevel="0" collapsed="false">
      <c r="A1048" s="8" t="str">
        <f aca="false">HYPERLINK("https://www.fabsurplus.com/sdi_catalog/salesItemDetails.do?id=98107")</f>
        <v>https://www.fabsurplus.com/sdi_catalog/salesItemDetails.do?id=98107</v>
      </c>
      <c r="B1048" s="8" t="s">
        <v>2572</v>
      </c>
      <c r="C1048" s="8" t="s">
        <v>2508</v>
      </c>
      <c r="D1048" s="8" t="s">
        <v>2573</v>
      </c>
      <c r="E1048" s="8" t="s">
        <v>2574</v>
      </c>
      <c r="F1048" s="8" t="s">
        <v>16</v>
      </c>
      <c r="G1048" s="8" t="s">
        <v>32</v>
      </c>
      <c r="H1048" s="8"/>
      <c r="I1048" s="8"/>
      <c r="J1048" s="8" t="s">
        <v>19</v>
      </c>
      <c r="K1048" s="8"/>
    </row>
    <row r="1049" customFormat="false" ht="12.8" hidden="false" customHeight="false" outlineLevel="0" collapsed="false">
      <c r="A1049" s="8" t="str">
        <f aca="false">HYPERLINK("https://www.fabsurplus.com/sdi_catalog/salesItemDetails.do?id=100778")</f>
        <v>https://www.fabsurplus.com/sdi_catalog/salesItemDetails.do?id=100778</v>
      </c>
      <c r="B1049" s="8" t="s">
        <v>2575</v>
      </c>
      <c r="C1049" s="8" t="s">
        <v>2576</v>
      </c>
      <c r="D1049" s="8" t="s">
        <v>2577</v>
      </c>
      <c r="E1049" s="8" t="s">
        <v>2578</v>
      </c>
      <c r="F1049" s="8" t="s">
        <v>626</v>
      </c>
      <c r="G1049" s="8"/>
      <c r="H1049" s="8"/>
      <c r="I1049" s="8"/>
      <c r="J1049" s="8" t="s">
        <v>81</v>
      </c>
      <c r="K1049" s="8"/>
    </row>
    <row r="1050" customFormat="false" ht="12.8" hidden="false" customHeight="false" outlineLevel="0" collapsed="false">
      <c r="A1050" s="8" t="str">
        <f aca="false">HYPERLINK("https://www.fabsurplus.com/sdi_catalog/salesItemDetails.do?id=100357")</f>
        <v>https://www.fabsurplus.com/sdi_catalog/salesItemDetails.do?id=100357</v>
      </c>
      <c r="B1050" s="8" t="s">
        <v>2579</v>
      </c>
      <c r="C1050" s="8" t="s">
        <v>2580</v>
      </c>
      <c r="D1050" s="8" t="s">
        <v>2581</v>
      </c>
      <c r="E1050" s="8" t="s">
        <v>2582</v>
      </c>
      <c r="F1050" s="8" t="s">
        <v>611</v>
      </c>
      <c r="G1050" s="8"/>
      <c r="H1050" s="8" t="s">
        <v>18</v>
      </c>
      <c r="I1050" s="8"/>
      <c r="J1050" s="8" t="s">
        <v>19</v>
      </c>
      <c r="K1050" s="8"/>
    </row>
    <row r="1051" customFormat="false" ht="12.8" hidden="false" customHeight="false" outlineLevel="0" collapsed="false">
      <c r="A1051" s="8" t="str">
        <f aca="false">HYPERLINK("https://www.fabsurplus.com/sdi_catalog/salesItemDetails.do?id=97916")</f>
        <v>https://www.fabsurplus.com/sdi_catalog/salesItemDetails.do?id=97916</v>
      </c>
      <c r="B1051" s="8" t="s">
        <v>2583</v>
      </c>
      <c r="C1051" s="8" t="s">
        <v>2584</v>
      </c>
      <c r="D1051" s="8" t="s">
        <v>2585</v>
      </c>
      <c r="E1051" s="8" t="s">
        <v>2586</v>
      </c>
      <c r="F1051" s="8" t="s">
        <v>16</v>
      </c>
      <c r="G1051" s="8" t="s">
        <v>1851</v>
      </c>
      <c r="H1051" s="8"/>
      <c r="I1051" s="8"/>
      <c r="J1051" s="8" t="s">
        <v>81</v>
      </c>
      <c r="K1051" s="8"/>
    </row>
    <row r="1052" customFormat="false" ht="12.8" hidden="false" customHeight="false" outlineLevel="0" collapsed="false">
      <c r="A1052" s="8" t="str">
        <f aca="false">HYPERLINK("https://www.fabsurplus.com/sdi_catalog/salesItemDetails.do?id=100718")</f>
        <v>https://www.fabsurplus.com/sdi_catalog/salesItemDetails.do?id=100718</v>
      </c>
      <c r="B1052" s="8" t="s">
        <v>2587</v>
      </c>
      <c r="C1052" s="8" t="s">
        <v>2588</v>
      </c>
      <c r="D1052" s="8" t="s">
        <v>2589</v>
      </c>
      <c r="E1052" s="8" t="s">
        <v>2590</v>
      </c>
      <c r="F1052" s="8" t="s">
        <v>16</v>
      </c>
      <c r="G1052" s="8"/>
      <c r="H1052" s="8" t="s">
        <v>18</v>
      </c>
      <c r="I1052" s="8"/>
      <c r="J1052" s="8" t="s">
        <v>19</v>
      </c>
      <c r="K1052" s="8"/>
    </row>
    <row r="1053" customFormat="false" ht="12.8" hidden="false" customHeight="false" outlineLevel="0" collapsed="false">
      <c r="A1053" s="6" t="str">
        <f aca="false">HYPERLINK("https://www.fabsurplus.com/sdi_catalog/salesItemDetails.do?id=99413")</f>
        <v>https://www.fabsurplus.com/sdi_catalog/salesItemDetails.do?id=99413</v>
      </c>
      <c r="B1053" s="6" t="s">
        <v>2591</v>
      </c>
      <c r="C1053" s="6" t="s">
        <v>2592</v>
      </c>
      <c r="D1053" s="6" t="s">
        <v>2593</v>
      </c>
      <c r="E1053" s="6" t="s">
        <v>2594</v>
      </c>
      <c r="F1053" s="6" t="s">
        <v>16</v>
      </c>
      <c r="G1053" s="6"/>
      <c r="H1053" s="6"/>
      <c r="I1053" s="6"/>
      <c r="J1053" s="6" t="s">
        <v>19</v>
      </c>
      <c r="K1053" s="6"/>
    </row>
    <row r="1054" customFormat="false" ht="12.8" hidden="false" customHeight="false" outlineLevel="0" collapsed="false">
      <c r="A1054" s="6" t="str">
        <f aca="false">HYPERLINK("https://www.fabsurplus.com/sdi_catalog/salesItemDetails.do?id=97888")</f>
        <v>https://www.fabsurplus.com/sdi_catalog/salesItemDetails.do?id=97888</v>
      </c>
      <c r="B1054" s="6" t="s">
        <v>2595</v>
      </c>
      <c r="C1054" s="6" t="s">
        <v>2596</v>
      </c>
      <c r="D1054" s="6" t="s">
        <v>2597</v>
      </c>
      <c r="E1054" s="6" t="s">
        <v>43</v>
      </c>
      <c r="F1054" s="6" t="s">
        <v>2598</v>
      </c>
      <c r="G1054" s="6" t="s">
        <v>38</v>
      </c>
      <c r="H1054" s="6"/>
      <c r="I1054" s="6"/>
      <c r="J1054" s="6" t="s">
        <v>81</v>
      </c>
      <c r="K1054" s="6"/>
    </row>
    <row r="1055" customFormat="false" ht="12.8" hidden="false" customHeight="false" outlineLevel="0" collapsed="false">
      <c r="A1055" s="8" t="str">
        <f aca="false">HYPERLINK("https://www.fabsurplus.com/sdi_catalog/salesItemDetails.do?id=97889")</f>
        <v>https://www.fabsurplus.com/sdi_catalog/salesItemDetails.do?id=97889</v>
      </c>
      <c r="B1055" s="8" t="s">
        <v>2599</v>
      </c>
      <c r="C1055" s="8" t="s">
        <v>2596</v>
      </c>
      <c r="D1055" s="8" t="s">
        <v>2600</v>
      </c>
      <c r="E1055" s="8" t="s">
        <v>43</v>
      </c>
      <c r="F1055" s="8" t="s">
        <v>16</v>
      </c>
      <c r="G1055" s="8" t="s">
        <v>38</v>
      </c>
      <c r="H1055" s="8"/>
      <c r="I1055" s="8"/>
      <c r="J1055" s="8" t="s">
        <v>81</v>
      </c>
      <c r="K1055" s="8"/>
    </row>
    <row r="1056" customFormat="false" ht="12.8" hidden="false" customHeight="false" outlineLevel="0" collapsed="false">
      <c r="A1056" s="8" t="str">
        <f aca="false">HYPERLINK("https://www.fabsurplus.com/sdi_catalog/salesItemDetails.do?id=98574")</f>
        <v>https://www.fabsurplus.com/sdi_catalog/salesItemDetails.do?id=98574</v>
      </c>
      <c r="B1056" s="8" t="s">
        <v>2601</v>
      </c>
      <c r="C1056" s="8" t="s">
        <v>180</v>
      </c>
      <c r="D1056" s="8" t="s">
        <v>2602</v>
      </c>
      <c r="E1056" s="8" t="s">
        <v>2603</v>
      </c>
      <c r="F1056" s="8" t="s">
        <v>16</v>
      </c>
      <c r="G1056" s="8" t="s">
        <v>837</v>
      </c>
      <c r="H1056" s="8"/>
      <c r="I1056" s="8"/>
      <c r="J1056" s="8" t="s">
        <v>19</v>
      </c>
      <c r="K1056" s="8"/>
    </row>
    <row r="1057" customFormat="false" ht="12.8" hidden="false" customHeight="false" outlineLevel="0" collapsed="false">
      <c r="A1057" s="6" t="str">
        <f aca="false">HYPERLINK("https://www.fabsurplus.com/sdi_catalog/salesItemDetails.do?id=98573")</f>
        <v>https://www.fabsurplus.com/sdi_catalog/salesItemDetails.do?id=98573</v>
      </c>
      <c r="B1057" s="6" t="s">
        <v>2604</v>
      </c>
      <c r="C1057" s="6" t="s">
        <v>180</v>
      </c>
      <c r="D1057" s="6" t="s">
        <v>2602</v>
      </c>
      <c r="E1057" s="6" t="s">
        <v>2603</v>
      </c>
      <c r="F1057" s="6" t="s">
        <v>16</v>
      </c>
      <c r="G1057" s="6" t="s">
        <v>837</v>
      </c>
      <c r="H1057" s="6"/>
      <c r="I1057" s="6"/>
      <c r="J1057" s="6" t="s">
        <v>19</v>
      </c>
      <c r="K1057" s="6"/>
    </row>
    <row r="1058" customFormat="false" ht="12.8" hidden="false" customHeight="false" outlineLevel="0" collapsed="false">
      <c r="A1058" s="6" t="str">
        <f aca="false">HYPERLINK("https://www.fabsurplus.com/sdi_catalog/salesItemDetails.do?id=100127")</f>
        <v>https://www.fabsurplus.com/sdi_catalog/salesItemDetails.do?id=100127</v>
      </c>
      <c r="B1058" s="6" t="s">
        <v>2605</v>
      </c>
      <c r="C1058" s="6" t="s">
        <v>180</v>
      </c>
      <c r="D1058" s="6" t="s">
        <v>2606</v>
      </c>
      <c r="E1058" s="6" t="s">
        <v>836</v>
      </c>
      <c r="F1058" s="6" t="s">
        <v>16</v>
      </c>
      <c r="G1058" s="6" t="s">
        <v>837</v>
      </c>
      <c r="H1058" s="6"/>
      <c r="I1058" s="6"/>
      <c r="J1058" s="6" t="s">
        <v>19</v>
      </c>
      <c r="K1058" s="6"/>
    </row>
    <row r="1059" customFormat="false" ht="12.8" hidden="false" customHeight="false" outlineLevel="0" collapsed="false">
      <c r="A1059" s="6" t="str">
        <f aca="false">HYPERLINK("https://www.fabsurplus.com/sdi_catalog/salesItemDetails.do?id=100126")</f>
        <v>https://www.fabsurplus.com/sdi_catalog/salesItemDetails.do?id=100126</v>
      </c>
      <c r="B1059" s="6" t="s">
        <v>2607</v>
      </c>
      <c r="C1059" s="6" t="s">
        <v>180</v>
      </c>
      <c r="D1059" s="6" t="s">
        <v>2606</v>
      </c>
      <c r="E1059" s="6" t="s">
        <v>836</v>
      </c>
      <c r="F1059" s="6" t="s">
        <v>16</v>
      </c>
      <c r="G1059" s="6" t="s">
        <v>837</v>
      </c>
      <c r="H1059" s="6"/>
      <c r="I1059" s="6"/>
      <c r="J1059" s="6" t="s">
        <v>19</v>
      </c>
      <c r="K1059" s="6"/>
    </row>
    <row r="1060" customFormat="false" ht="12.8" hidden="false" customHeight="false" outlineLevel="0" collapsed="false">
      <c r="A1060" s="6" t="str">
        <f aca="false">HYPERLINK("https://www.fabsurplus.com/sdi_catalog/salesItemDetails.do?id=100125")</f>
        <v>https://www.fabsurplus.com/sdi_catalog/salesItemDetails.do?id=100125</v>
      </c>
      <c r="B1060" s="6" t="s">
        <v>2608</v>
      </c>
      <c r="C1060" s="6" t="s">
        <v>180</v>
      </c>
      <c r="D1060" s="6" t="s">
        <v>2606</v>
      </c>
      <c r="E1060" s="6" t="s">
        <v>836</v>
      </c>
      <c r="F1060" s="6" t="s">
        <v>16</v>
      </c>
      <c r="G1060" s="6" t="s">
        <v>837</v>
      </c>
      <c r="H1060" s="6"/>
      <c r="I1060" s="6"/>
      <c r="J1060" s="6" t="s">
        <v>19</v>
      </c>
      <c r="K1060" s="6"/>
    </row>
    <row r="1061" customFormat="false" ht="12.8" hidden="false" customHeight="false" outlineLevel="0" collapsed="false">
      <c r="A1061" s="6" t="str">
        <f aca="false">HYPERLINK("https://www.fabsurplus.com/sdi_catalog/salesItemDetails.do?id=100124")</f>
        <v>https://www.fabsurplus.com/sdi_catalog/salesItemDetails.do?id=100124</v>
      </c>
      <c r="B1061" s="6" t="s">
        <v>2609</v>
      </c>
      <c r="C1061" s="6" t="s">
        <v>180</v>
      </c>
      <c r="D1061" s="6" t="s">
        <v>2606</v>
      </c>
      <c r="E1061" s="6" t="s">
        <v>836</v>
      </c>
      <c r="F1061" s="6" t="s">
        <v>16</v>
      </c>
      <c r="G1061" s="6" t="s">
        <v>837</v>
      </c>
      <c r="H1061" s="6"/>
      <c r="I1061" s="6"/>
      <c r="J1061" s="6" t="s">
        <v>19</v>
      </c>
      <c r="K1061" s="6"/>
    </row>
    <row r="1062" customFormat="false" ht="12.8" hidden="false" customHeight="false" outlineLevel="0" collapsed="false">
      <c r="A1062" s="6" t="str">
        <f aca="false">HYPERLINK("https://www.fabsurplus.com/sdi_catalog/salesItemDetails.do?id=100123")</f>
        <v>https://www.fabsurplus.com/sdi_catalog/salesItemDetails.do?id=100123</v>
      </c>
      <c r="B1062" s="6" t="s">
        <v>2610</v>
      </c>
      <c r="C1062" s="6" t="s">
        <v>180</v>
      </c>
      <c r="D1062" s="6" t="s">
        <v>2606</v>
      </c>
      <c r="E1062" s="6" t="s">
        <v>836</v>
      </c>
      <c r="F1062" s="6" t="s">
        <v>16</v>
      </c>
      <c r="G1062" s="6" t="s">
        <v>837</v>
      </c>
      <c r="H1062" s="6"/>
      <c r="I1062" s="6"/>
      <c r="J1062" s="6" t="s">
        <v>19</v>
      </c>
      <c r="K1062" s="6"/>
    </row>
    <row r="1063" customFormat="false" ht="12.8" hidden="false" customHeight="false" outlineLevel="0" collapsed="false">
      <c r="A1063" s="6" t="str">
        <f aca="false">HYPERLINK("https://www.fabsurplus.com/sdi_catalog/salesItemDetails.do?id=100122")</f>
        <v>https://www.fabsurplus.com/sdi_catalog/salesItemDetails.do?id=100122</v>
      </c>
      <c r="B1063" s="6" t="s">
        <v>2611</v>
      </c>
      <c r="C1063" s="6" t="s">
        <v>180</v>
      </c>
      <c r="D1063" s="6" t="s">
        <v>2606</v>
      </c>
      <c r="E1063" s="6" t="s">
        <v>836</v>
      </c>
      <c r="F1063" s="6" t="s">
        <v>16</v>
      </c>
      <c r="G1063" s="6" t="s">
        <v>837</v>
      </c>
      <c r="H1063" s="6"/>
      <c r="I1063" s="6"/>
      <c r="J1063" s="6" t="s">
        <v>19</v>
      </c>
      <c r="K1063" s="6"/>
    </row>
    <row r="1064" customFormat="false" ht="12.8" hidden="false" customHeight="false" outlineLevel="0" collapsed="false">
      <c r="A1064" s="6" t="str">
        <f aca="false">HYPERLINK("https://www.fabsurplus.com/sdi_catalog/salesItemDetails.do?id=100121")</f>
        <v>https://www.fabsurplus.com/sdi_catalog/salesItemDetails.do?id=100121</v>
      </c>
      <c r="B1064" s="6" t="s">
        <v>2612</v>
      </c>
      <c r="C1064" s="6" t="s">
        <v>180</v>
      </c>
      <c r="D1064" s="6" t="s">
        <v>2606</v>
      </c>
      <c r="E1064" s="6" t="s">
        <v>836</v>
      </c>
      <c r="F1064" s="6" t="s">
        <v>16</v>
      </c>
      <c r="G1064" s="6" t="s">
        <v>837</v>
      </c>
      <c r="H1064" s="6"/>
      <c r="I1064" s="6"/>
      <c r="J1064" s="6" t="s">
        <v>19</v>
      </c>
      <c r="K1064" s="6"/>
    </row>
    <row r="1065" customFormat="false" ht="12.8" hidden="false" customHeight="false" outlineLevel="0" collapsed="false">
      <c r="A1065" s="6" t="str">
        <f aca="false">HYPERLINK("https://www.fabsurplus.com/sdi_catalog/salesItemDetails.do?id=100120")</f>
        <v>https://www.fabsurplus.com/sdi_catalog/salesItemDetails.do?id=100120</v>
      </c>
      <c r="B1065" s="6" t="s">
        <v>2613</v>
      </c>
      <c r="C1065" s="6" t="s">
        <v>180</v>
      </c>
      <c r="D1065" s="6" t="s">
        <v>2606</v>
      </c>
      <c r="E1065" s="6" t="s">
        <v>836</v>
      </c>
      <c r="F1065" s="6" t="s">
        <v>16</v>
      </c>
      <c r="G1065" s="6" t="s">
        <v>837</v>
      </c>
      <c r="H1065" s="6"/>
      <c r="I1065" s="6"/>
      <c r="J1065" s="6" t="s">
        <v>19</v>
      </c>
      <c r="K1065" s="6"/>
    </row>
    <row r="1066" customFormat="false" ht="12.8" hidden="false" customHeight="false" outlineLevel="0" collapsed="false">
      <c r="A1066" s="8" t="str">
        <f aca="false">HYPERLINK("https://www.fabsurplus.com/sdi_catalog/salesItemDetails.do?id=100128")</f>
        <v>https://www.fabsurplus.com/sdi_catalog/salesItemDetails.do?id=100128</v>
      </c>
      <c r="B1066" s="8" t="s">
        <v>2614</v>
      </c>
      <c r="C1066" s="8" t="s">
        <v>180</v>
      </c>
      <c r="D1066" s="8" t="s">
        <v>2615</v>
      </c>
      <c r="E1066" s="8" t="s">
        <v>836</v>
      </c>
      <c r="F1066" s="8" t="s">
        <v>16</v>
      </c>
      <c r="G1066" s="8" t="s">
        <v>837</v>
      </c>
      <c r="H1066" s="8"/>
      <c r="I1066" s="9" t="n">
        <v>40330</v>
      </c>
      <c r="J1066" s="8" t="s">
        <v>19</v>
      </c>
      <c r="K1066" s="8"/>
    </row>
    <row r="1067" customFormat="false" ht="12.8" hidden="false" customHeight="false" outlineLevel="0" collapsed="false">
      <c r="A1067" s="8" t="str">
        <f aca="false">HYPERLINK("https://www.fabsurplus.com/sdi_catalog/salesItemDetails.do?id=98108")</f>
        <v>https://www.fabsurplus.com/sdi_catalog/salesItemDetails.do?id=98108</v>
      </c>
      <c r="B1067" s="8" t="s">
        <v>2616</v>
      </c>
      <c r="C1067" s="8" t="s">
        <v>2617</v>
      </c>
      <c r="D1067" s="8" t="s">
        <v>2618</v>
      </c>
      <c r="E1067" s="8" t="s">
        <v>2619</v>
      </c>
      <c r="F1067" s="8" t="s">
        <v>16</v>
      </c>
      <c r="G1067" s="8" t="s">
        <v>32</v>
      </c>
      <c r="H1067" s="8"/>
      <c r="I1067" s="9" t="n">
        <v>38139</v>
      </c>
      <c r="J1067" s="8" t="s">
        <v>19</v>
      </c>
      <c r="K1067" s="8"/>
    </row>
    <row r="1068" customFormat="false" ht="12.8" hidden="false" customHeight="false" outlineLevel="0" collapsed="false">
      <c r="A1068" s="6" t="str">
        <f aca="false">HYPERLINK("https://www.fabsurplus.com/sdi_catalog/salesItemDetails.do?id=98111")</f>
        <v>https://www.fabsurplus.com/sdi_catalog/salesItemDetails.do?id=98111</v>
      </c>
      <c r="B1068" s="6" t="s">
        <v>2620</v>
      </c>
      <c r="C1068" s="6" t="s">
        <v>2617</v>
      </c>
      <c r="D1068" s="6" t="s">
        <v>2621</v>
      </c>
      <c r="E1068" s="6" t="s">
        <v>2619</v>
      </c>
      <c r="F1068" s="6" t="s">
        <v>16</v>
      </c>
      <c r="G1068" s="6" t="s">
        <v>310</v>
      </c>
      <c r="H1068" s="6"/>
      <c r="I1068" s="6"/>
      <c r="J1068" s="6" t="s">
        <v>19</v>
      </c>
      <c r="K1068" s="6"/>
    </row>
    <row r="1069" customFormat="false" ht="12.8" hidden="false" customHeight="false" outlineLevel="0" collapsed="false">
      <c r="A1069" s="8" t="str">
        <f aca="false">HYPERLINK("https://www.fabsurplus.com/sdi_catalog/salesItemDetails.do?id=98110")</f>
        <v>https://www.fabsurplus.com/sdi_catalog/salesItemDetails.do?id=98110</v>
      </c>
      <c r="B1069" s="8" t="s">
        <v>2622</v>
      </c>
      <c r="C1069" s="8" t="s">
        <v>2617</v>
      </c>
      <c r="D1069" s="8" t="s">
        <v>2621</v>
      </c>
      <c r="E1069" s="8" t="s">
        <v>2619</v>
      </c>
      <c r="F1069" s="8" t="s">
        <v>16</v>
      </c>
      <c r="G1069" s="8" t="s">
        <v>310</v>
      </c>
      <c r="H1069" s="8"/>
      <c r="I1069" s="9" t="n">
        <v>38869</v>
      </c>
      <c r="J1069" s="8" t="s">
        <v>19</v>
      </c>
      <c r="K1069" s="8"/>
    </row>
    <row r="1070" customFormat="false" ht="12.8" hidden="false" customHeight="false" outlineLevel="0" collapsed="false">
      <c r="A1070" s="6" t="str">
        <f aca="false">HYPERLINK("https://www.fabsurplus.com/sdi_catalog/salesItemDetails.do?id=98109")</f>
        <v>https://www.fabsurplus.com/sdi_catalog/salesItemDetails.do?id=98109</v>
      </c>
      <c r="B1070" s="6" t="s">
        <v>2623</v>
      </c>
      <c r="C1070" s="6" t="s">
        <v>2617</v>
      </c>
      <c r="D1070" s="6" t="s">
        <v>2621</v>
      </c>
      <c r="E1070" s="6" t="s">
        <v>2619</v>
      </c>
      <c r="F1070" s="6" t="s">
        <v>16</v>
      </c>
      <c r="G1070" s="6" t="s">
        <v>310</v>
      </c>
      <c r="H1070" s="6"/>
      <c r="I1070" s="7" t="n">
        <v>38869</v>
      </c>
      <c r="J1070" s="6" t="s">
        <v>19</v>
      </c>
      <c r="K1070" s="6"/>
    </row>
    <row r="1071" customFormat="false" ht="12.8" hidden="false" customHeight="false" outlineLevel="0" collapsed="false">
      <c r="A1071" s="8" t="str">
        <f aca="false">HYPERLINK("https://www.fabsurplus.com/sdi_catalog/salesItemDetails.do?id=98461")</f>
        <v>https://www.fabsurplus.com/sdi_catalog/salesItemDetails.do?id=98461</v>
      </c>
      <c r="B1071" s="8" t="s">
        <v>2624</v>
      </c>
      <c r="C1071" s="8" t="s">
        <v>180</v>
      </c>
      <c r="D1071" s="8" t="s">
        <v>2625</v>
      </c>
      <c r="E1071" s="8" t="s">
        <v>2626</v>
      </c>
      <c r="F1071" s="8" t="s">
        <v>16</v>
      </c>
      <c r="G1071" s="8" t="s">
        <v>686</v>
      </c>
      <c r="H1071" s="8"/>
      <c r="I1071" s="8"/>
      <c r="J1071" s="8" t="s">
        <v>19</v>
      </c>
      <c r="K1071" s="8"/>
    </row>
    <row r="1072" customFormat="false" ht="12.8" hidden="false" customHeight="false" outlineLevel="0" collapsed="false">
      <c r="A1072" s="6" t="str">
        <f aca="false">HYPERLINK("https://www.fabsurplus.com/sdi_catalog/salesItemDetails.do?id=98460")</f>
        <v>https://www.fabsurplus.com/sdi_catalog/salesItemDetails.do?id=98460</v>
      </c>
      <c r="B1072" s="6" t="s">
        <v>2627</v>
      </c>
      <c r="C1072" s="6" t="s">
        <v>180</v>
      </c>
      <c r="D1072" s="6" t="s">
        <v>2625</v>
      </c>
      <c r="E1072" s="6" t="s">
        <v>2628</v>
      </c>
      <c r="F1072" s="6" t="s">
        <v>16</v>
      </c>
      <c r="G1072" s="6" t="s">
        <v>686</v>
      </c>
      <c r="H1072" s="6"/>
      <c r="I1072" s="6"/>
      <c r="J1072" s="6" t="s">
        <v>19</v>
      </c>
      <c r="K1072" s="6"/>
    </row>
    <row r="1073" customFormat="false" ht="12.8" hidden="false" customHeight="false" outlineLevel="0" collapsed="false">
      <c r="A1073" s="6" t="str">
        <f aca="false">HYPERLINK("https://www.fabsurplus.com/sdi_catalog/salesItemDetails.do?id=100674")</f>
        <v>https://www.fabsurplus.com/sdi_catalog/salesItemDetails.do?id=100674</v>
      </c>
      <c r="B1073" s="6" t="s">
        <v>2629</v>
      </c>
      <c r="C1073" s="6" t="s">
        <v>2630</v>
      </c>
      <c r="D1073" s="6" t="s">
        <v>2631</v>
      </c>
      <c r="E1073" s="6" t="s">
        <v>2632</v>
      </c>
      <c r="F1073" s="6" t="s">
        <v>16</v>
      </c>
      <c r="G1073" s="6" t="s">
        <v>86</v>
      </c>
      <c r="H1073" s="6"/>
      <c r="I1073" s="6"/>
      <c r="J1073" s="6" t="s">
        <v>19</v>
      </c>
      <c r="K1073" s="6"/>
    </row>
    <row r="1074" customFormat="false" ht="12.8" hidden="false" customHeight="false" outlineLevel="0" collapsed="false">
      <c r="A1074" s="8" t="str">
        <f aca="false">HYPERLINK("https://www.fabsurplus.com/sdi_catalog/salesItemDetails.do?id=97852")</f>
        <v>https://www.fabsurplus.com/sdi_catalog/salesItemDetails.do?id=97852</v>
      </c>
      <c r="B1074" s="8" t="s">
        <v>2633</v>
      </c>
      <c r="C1074" s="8" t="s">
        <v>2634</v>
      </c>
      <c r="D1074" s="8" t="s">
        <v>2635</v>
      </c>
      <c r="E1074" s="8" t="s">
        <v>805</v>
      </c>
      <c r="F1074" s="8" t="s">
        <v>16</v>
      </c>
      <c r="G1074" s="8"/>
      <c r="H1074" s="8"/>
      <c r="I1074" s="8"/>
      <c r="J1074" s="8" t="s">
        <v>19</v>
      </c>
      <c r="K1074" s="8"/>
    </row>
    <row r="1075" customFormat="false" ht="12.8" hidden="false" customHeight="false" outlineLevel="0" collapsed="false">
      <c r="A1075" s="6" t="str">
        <f aca="false">HYPERLINK("https://www.fabsurplus.com/sdi_catalog/salesItemDetails.do?id=100132")</f>
        <v>https://www.fabsurplus.com/sdi_catalog/salesItemDetails.do?id=100132</v>
      </c>
      <c r="B1075" s="6" t="s">
        <v>2636</v>
      </c>
      <c r="C1075" s="6" t="s">
        <v>208</v>
      </c>
      <c r="D1075" s="6" t="s">
        <v>2637</v>
      </c>
      <c r="E1075" s="6" t="s">
        <v>836</v>
      </c>
      <c r="F1075" s="6" t="s">
        <v>16</v>
      </c>
      <c r="G1075" s="6" t="s">
        <v>837</v>
      </c>
      <c r="H1075" s="6"/>
      <c r="I1075" s="6"/>
      <c r="J1075" s="6" t="s">
        <v>19</v>
      </c>
      <c r="K1075" s="6"/>
    </row>
    <row r="1076" customFormat="false" ht="12.8" hidden="false" customHeight="false" outlineLevel="0" collapsed="false">
      <c r="A1076" s="6" t="str">
        <f aca="false">HYPERLINK("https://www.fabsurplus.com/sdi_catalog/salesItemDetails.do?id=100131")</f>
        <v>https://www.fabsurplus.com/sdi_catalog/salesItemDetails.do?id=100131</v>
      </c>
      <c r="B1076" s="6" t="s">
        <v>2638</v>
      </c>
      <c r="C1076" s="6" t="s">
        <v>208</v>
      </c>
      <c r="D1076" s="6" t="s">
        <v>2637</v>
      </c>
      <c r="E1076" s="6" t="s">
        <v>836</v>
      </c>
      <c r="F1076" s="6" t="s">
        <v>16</v>
      </c>
      <c r="G1076" s="6" t="s">
        <v>837</v>
      </c>
      <c r="H1076" s="6"/>
      <c r="I1076" s="7" t="n">
        <v>39234</v>
      </c>
      <c r="J1076" s="6" t="s">
        <v>19</v>
      </c>
      <c r="K1076" s="6"/>
    </row>
    <row r="1077" customFormat="false" ht="12.8" hidden="false" customHeight="false" outlineLevel="0" collapsed="false">
      <c r="A1077" s="6" t="str">
        <f aca="false">HYPERLINK("https://www.fabsurplus.com/sdi_catalog/salesItemDetails.do?id=100130")</f>
        <v>https://www.fabsurplus.com/sdi_catalog/salesItemDetails.do?id=100130</v>
      </c>
      <c r="B1077" s="6" t="s">
        <v>2639</v>
      </c>
      <c r="C1077" s="6" t="s">
        <v>208</v>
      </c>
      <c r="D1077" s="6" t="s">
        <v>2637</v>
      </c>
      <c r="E1077" s="6" t="s">
        <v>836</v>
      </c>
      <c r="F1077" s="6" t="s">
        <v>16</v>
      </c>
      <c r="G1077" s="6" t="s">
        <v>837</v>
      </c>
      <c r="H1077" s="6"/>
      <c r="I1077" s="7" t="n">
        <v>39234</v>
      </c>
      <c r="J1077" s="6" t="s">
        <v>19</v>
      </c>
      <c r="K1077" s="6"/>
    </row>
    <row r="1078" customFormat="false" ht="12.8" hidden="false" customHeight="false" outlineLevel="0" collapsed="false">
      <c r="A1078" s="6" t="str">
        <f aca="false">HYPERLINK("https://www.fabsurplus.com/sdi_catalog/salesItemDetails.do?id=100129")</f>
        <v>https://www.fabsurplus.com/sdi_catalog/salesItemDetails.do?id=100129</v>
      </c>
      <c r="B1078" s="6" t="s">
        <v>2640</v>
      </c>
      <c r="C1078" s="6" t="s">
        <v>208</v>
      </c>
      <c r="D1078" s="6" t="s">
        <v>2637</v>
      </c>
      <c r="E1078" s="6" t="s">
        <v>836</v>
      </c>
      <c r="F1078" s="6" t="s">
        <v>16</v>
      </c>
      <c r="G1078" s="6" t="s">
        <v>837</v>
      </c>
      <c r="H1078" s="6"/>
      <c r="I1078" s="6"/>
      <c r="J1078" s="6" t="s">
        <v>19</v>
      </c>
      <c r="K1078" s="6"/>
    </row>
    <row r="1079" customFormat="false" ht="12.8" hidden="false" customHeight="false" outlineLevel="0" collapsed="false">
      <c r="A1079" s="6" t="str">
        <f aca="false">HYPERLINK("https://www.fabsurplus.com/sdi_catalog/salesItemDetails.do?id=100133")</f>
        <v>https://www.fabsurplus.com/sdi_catalog/salesItemDetails.do?id=100133</v>
      </c>
      <c r="B1079" s="6" t="s">
        <v>2641</v>
      </c>
      <c r="C1079" s="6" t="s">
        <v>208</v>
      </c>
      <c r="D1079" s="6" t="s">
        <v>2642</v>
      </c>
      <c r="E1079" s="6" t="s">
        <v>836</v>
      </c>
      <c r="F1079" s="6" t="s">
        <v>16</v>
      </c>
      <c r="G1079" s="6" t="s">
        <v>837</v>
      </c>
      <c r="H1079" s="6"/>
      <c r="I1079" s="6"/>
      <c r="J1079" s="6" t="s">
        <v>19</v>
      </c>
      <c r="K1079" s="6"/>
    </row>
    <row r="1080" customFormat="false" ht="12.8" hidden="false" customHeight="false" outlineLevel="0" collapsed="false">
      <c r="A1080" s="8" t="str">
        <f aca="false">HYPERLINK("https://www.fabsurplus.com/sdi_catalog/salesItemDetails.do?id=96851")</f>
        <v>https://www.fabsurplus.com/sdi_catalog/salesItemDetails.do?id=96851</v>
      </c>
      <c r="B1080" s="8" t="s">
        <v>2643</v>
      </c>
      <c r="C1080" s="8" t="s">
        <v>208</v>
      </c>
      <c r="D1080" s="8" t="s">
        <v>2642</v>
      </c>
      <c r="E1080" s="8" t="s">
        <v>836</v>
      </c>
      <c r="F1080" s="8" t="s">
        <v>781</v>
      </c>
      <c r="G1080" s="8" t="s">
        <v>837</v>
      </c>
      <c r="H1080" s="8"/>
      <c r="I1080" s="8"/>
      <c r="J1080" s="8" t="s">
        <v>19</v>
      </c>
      <c r="K1080" s="8"/>
    </row>
    <row r="1081" customFormat="false" ht="12.8" hidden="false" customHeight="false" outlineLevel="0" collapsed="false">
      <c r="A1081" s="8" t="str">
        <f aca="false">HYPERLINK("https://www.fabsurplus.com/sdi_catalog/salesItemDetails.do?id=98575")</f>
        <v>https://www.fabsurplus.com/sdi_catalog/salesItemDetails.do?id=98575</v>
      </c>
      <c r="B1081" s="8" t="s">
        <v>2644</v>
      </c>
      <c r="C1081" s="8" t="s">
        <v>208</v>
      </c>
      <c r="D1081" s="8" t="s">
        <v>2645</v>
      </c>
      <c r="E1081" s="8" t="s">
        <v>2603</v>
      </c>
      <c r="F1081" s="8" t="s">
        <v>16</v>
      </c>
      <c r="G1081" s="8" t="s">
        <v>837</v>
      </c>
      <c r="H1081" s="8"/>
      <c r="I1081" s="8"/>
      <c r="J1081" s="8" t="s">
        <v>19</v>
      </c>
      <c r="K1081" s="8"/>
    </row>
    <row r="1082" customFormat="false" ht="12.8" hidden="false" customHeight="false" outlineLevel="0" collapsed="false">
      <c r="A1082" s="6" t="str">
        <f aca="false">HYPERLINK("https://www.fabsurplus.com/sdi_catalog/salesItemDetails.do?id=100135")</f>
        <v>https://www.fabsurplus.com/sdi_catalog/salesItemDetails.do?id=100135</v>
      </c>
      <c r="B1082" s="6" t="s">
        <v>2646</v>
      </c>
      <c r="C1082" s="6" t="s">
        <v>208</v>
      </c>
      <c r="D1082" s="6" t="s">
        <v>2647</v>
      </c>
      <c r="E1082" s="6" t="s">
        <v>2648</v>
      </c>
      <c r="F1082" s="6" t="s">
        <v>16</v>
      </c>
      <c r="G1082" s="6" t="s">
        <v>837</v>
      </c>
      <c r="H1082" s="6"/>
      <c r="I1082" s="6"/>
      <c r="J1082" s="6" t="s">
        <v>19</v>
      </c>
      <c r="K1082" s="6"/>
    </row>
    <row r="1083" customFormat="false" ht="12.8" hidden="false" customHeight="false" outlineLevel="0" collapsed="false">
      <c r="A1083" s="6" t="str">
        <f aca="false">HYPERLINK("https://www.fabsurplus.com/sdi_catalog/salesItemDetails.do?id=100134")</f>
        <v>https://www.fabsurplus.com/sdi_catalog/salesItemDetails.do?id=100134</v>
      </c>
      <c r="B1083" s="6" t="s">
        <v>2649</v>
      </c>
      <c r="C1083" s="6" t="s">
        <v>208</v>
      </c>
      <c r="D1083" s="6" t="s">
        <v>2647</v>
      </c>
      <c r="E1083" s="6" t="s">
        <v>2648</v>
      </c>
      <c r="F1083" s="6" t="s">
        <v>16</v>
      </c>
      <c r="G1083" s="6" t="s">
        <v>837</v>
      </c>
      <c r="H1083" s="6"/>
      <c r="I1083" s="6"/>
      <c r="J1083" s="6" t="s">
        <v>19</v>
      </c>
      <c r="K1083" s="6"/>
    </row>
    <row r="1084" customFormat="false" ht="12.8" hidden="false" customHeight="false" outlineLevel="0" collapsed="false">
      <c r="A1084" s="6" t="str">
        <f aca="false">HYPERLINK("https://www.fabsurplus.com/sdi_catalog/salesItemDetails.do?id=98060")</f>
        <v>https://www.fabsurplus.com/sdi_catalog/salesItemDetails.do?id=98060</v>
      </c>
      <c r="B1084" s="6" t="s">
        <v>2650</v>
      </c>
      <c r="C1084" s="6" t="s">
        <v>2651</v>
      </c>
      <c r="D1084" s="6" t="s">
        <v>2652</v>
      </c>
      <c r="E1084" s="6" t="s">
        <v>836</v>
      </c>
      <c r="F1084" s="6" t="s">
        <v>16</v>
      </c>
      <c r="G1084" s="6"/>
      <c r="H1084" s="6" t="s">
        <v>18</v>
      </c>
      <c r="I1084" s="6"/>
      <c r="J1084" s="6" t="s">
        <v>19</v>
      </c>
      <c r="K1084" s="6" t="s">
        <v>20</v>
      </c>
    </row>
    <row r="1085" customFormat="false" ht="12.8" hidden="false" customHeight="false" outlineLevel="0" collapsed="false">
      <c r="A1085" s="8" t="str">
        <f aca="false">HYPERLINK("https://www.fabsurplus.com/sdi_catalog/salesItemDetails.do?id=98596")</f>
        <v>https://www.fabsurplus.com/sdi_catalog/salesItemDetails.do?id=98596</v>
      </c>
      <c r="B1085" s="8" t="s">
        <v>2653</v>
      </c>
      <c r="C1085" s="8" t="s">
        <v>208</v>
      </c>
      <c r="D1085" s="8" t="s">
        <v>2654</v>
      </c>
      <c r="E1085" s="8" t="s">
        <v>2603</v>
      </c>
      <c r="F1085" s="8" t="s">
        <v>16</v>
      </c>
      <c r="G1085" s="8" t="s">
        <v>837</v>
      </c>
      <c r="H1085" s="8"/>
      <c r="I1085" s="8"/>
      <c r="J1085" s="8" t="s">
        <v>19</v>
      </c>
      <c r="K1085" s="8"/>
    </row>
    <row r="1086" customFormat="false" ht="12.8" hidden="false" customHeight="false" outlineLevel="0" collapsed="false">
      <c r="A1086" s="8" t="str">
        <f aca="false">HYPERLINK("https://www.fabsurplus.com/sdi_catalog/salesItemDetails.do?id=98597")</f>
        <v>https://www.fabsurplus.com/sdi_catalog/salesItemDetails.do?id=98597</v>
      </c>
      <c r="B1086" s="8" t="s">
        <v>2655</v>
      </c>
      <c r="C1086" s="8" t="s">
        <v>208</v>
      </c>
      <c r="D1086" s="8" t="s">
        <v>2656</v>
      </c>
      <c r="E1086" s="8" t="s">
        <v>2603</v>
      </c>
      <c r="F1086" s="8" t="s">
        <v>16</v>
      </c>
      <c r="G1086" s="8" t="s">
        <v>837</v>
      </c>
      <c r="H1086" s="8"/>
      <c r="I1086" s="8"/>
      <c r="J1086" s="8" t="s">
        <v>19</v>
      </c>
      <c r="K1086" s="8"/>
    </row>
    <row r="1087" customFormat="false" ht="12.8" hidden="false" customHeight="false" outlineLevel="0" collapsed="false">
      <c r="A1087" s="6" t="str">
        <f aca="false">HYPERLINK("https://www.fabsurplus.com/sdi_catalog/salesItemDetails.do?id=97083")</f>
        <v>https://www.fabsurplus.com/sdi_catalog/salesItemDetails.do?id=97083</v>
      </c>
      <c r="B1087" s="6" t="s">
        <v>2657</v>
      </c>
      <c r="C1087" s="6" t="s">
        <v>2651</v>
      </c>
      <c r="D1087" s="6" t="s">
        <v>2658</v>
      </c>
      <c r="E1087" s="6" t="s">
        <v>2659</v>
      </c>
      <c r="F1087" s="6" t="s">
        <v>16</v>
      </c>
      <c r="G1087" s="6" t="s">
        <v>837</v>
      </c>
      <c r="H1087" s="6" t="s">
        <v>18</v>
      </c>
      <c r="I1087" s="7" t="n">
        <v>41730</v>
      </c>
      <c r="J1087" s="6" t="s">
        <v>81</v>
      </c>
      <c r="K1087" s="6"/>
    </row>
    <row r="1088" customFormat="false" ht="12.8" hidden="false" customHeight="false" outlineLevel="0" collapsed="false">
      <c r="A1088" s="8" t="str">
        <f aca="false">HYPERLINK("https://www.fabsurplus.com/sdi_catalog/salesItemDetails.do?id=98595")</f>
        <v>https://www.fabsurplus.com/sdi_catalog/salesItemDetails.do?id=98595</v>
      </c>
      <c r="B1088" s="8" t="s">
        <v>2660</v>
      </c>
      <c r="C1088" s="8" t="s">
        <v>208</v>
      </c>
      <c r="D1088" s="8" t="s">
        <v>2661</v>
      </c>
      <c r="E1088" s="8" t="s">
        <v>2603</v>
      </c>
      <c r="F1088" s="8" t="s">
        <v>16</v>
      </c>
      <c r="G1088" s="8" t="s">
        <v>837</v>
      </c>
      <c r="H1088" s="8"/>
      <c r="I1088" s="8"/>
      <c r="J1088" s="8" t="s">
        <v>19</v>
      </c>
      <c r="K1088" s="8"/>
    </row>
    <row r="1089" customFormat="false" ht="12.8" hidden="false" customHeight="false" outlineLevel="0" collapsed="false">
      <c r="A1089" s="8" t="str">
        <f aca="false">HYPERLINK("https://www.fabsurplus.com/sdi_catalog/salesItemDetails.do?id=98594")</f>
        <v>https://www.fabsurplus.com/sdi_catalog/salesItemDetails.do?id=98594</v>
      </c>
      <c r="B1089" s="8" t="s">
        <v>2662</v>
      </c>
      <c r="C1089" s="8" t="s">
        <v>208</v>
      </c>
      <c r="D1089" s="8" t="s">
        <v>2661</v>
      </c>
      <c r="E1089" s="8" t="s">
        <v>2603</v>
      </c>
      <c r="F1089" s="8" t="s">
        <v>16</v>
      </c>
      <c r="G1089" s="8" t="s">
        <v>837</v>
      </c>
      <c r="H1089" s="8"/>
      <c r="I1089" s="8"/>
      <c r="J1089" s="8" t="s">
        <v>19</v>
      </c>
      <c r="K1089" s="8"/>
    </row>
    <row r="1090" customFormat="false" ht="12.8" hidden="false" customHeight="false" outlineLevel="0" collapsed="false">
      <c r="A1090" s="8" t="str">
        <f aca="false">HYPERLINK("https://www.fabsurplus.com/sdi_catalog/salesItemDetails.do?id=98593")</f>
        <v>https://www.fabsurplus.com/sdi_catalog/salesItemDetails.do?id=98593</v>
      </c>
      <c r="B1090" s="8" t="s">
        <v>2663</v>
      </c>
      <c r="C1090" s="8" t="s">
        <v>208</v>
      </c>
      <c r="D1090" s="8" t="s">
        <v>2661</v>
      </c>
      <c r="E1090" s="8" t="s">
        <v>2603</v>
      </c>
      <c r="F1090" s="8" t="s">
        <v>16</v>
      </c>
      <c r="G1090" s="8" t="s">
        <v>837</v>
      </c>
      <c r="H1090" s="8"/>
      <c r="I1090" s="8"/>
      <c r="J1090" s="8" t="s">
        <v>19</v>
      </c>
      <c r="K1090" s="8"/>
    </row>
    <row r="1091" customFormat="false" ht="12.8" hidden="false" customHeight="false" outlineLevel="0" collapsed="false">
      <c r="A1091" s="6" t="str">
        <f aca="false">HYPERLINK("https://www.fabsurplus.com/sdi_catalog/salesItemDetails.do?id=98592")</f>
        <v>https://www.fabsurplus.com/sdi_catalog/salesItemDetails.do?id=98592</v>
      </c>
      <c r="B1091" s="6" t="s">
        <v>2664</v>
      </c>
      <c r="C1091" s="6" t="s">
        <v>208</v>
      </c>
      <c r="D1091" s="6" t="s">
        <v>2661</v>
      </c>
      <c r="E1091" s="6" t="s">
        <v>2603</v>
      </c>
      <c r="F1091" s="6" t="s">
        <v>16</v>
      </c>
      <c r="G1091" s="6" t="s">
        <v>837</v>
      </c>
      <c r="H1091" s="6"/>
      <c r="I1091" s="6"/>
      <c r="J1091" s="6" t="s">
        <v>19</v>
      </c>
      <c r="K1091" s="6"/>
    </row>
    <row r="1092" customFormat="false" ht="12.8" hidden="false" customHeight="false" outlineLevel="0" collapsed="false">
      <c r="A1092" s="8" t="str">
        <f aca="false">HYPERLINK("https://www.fabsurplus.com/sdi_catalog/salesItemDetails.do?id=98591")</f>
        <v>https://www.fabsurplus.com/sdi_catalog/salesItemDetails.do?id=98591</v>
      </c>
      <c r="B1092" s="8" t="s">
        <v>2665</v>
      </c>
      <c r="C1092" s="8" t="s">
        <v>208</v>
      </c>
      <c r="D1092" s="8" t="s">
        <v>2661</v>
      </c>
      <c r="E1092" s="8" t="s">
        <v>2603</v>
      </c>
      <c r="F1092" s="8" t="s">
        <v>16</v>
      </c>
      <c r="G1092" s="8" t="s">
        <v>837</v>
      </c>
      <c r="H1092" s="8"/>
      <c r="I1092" s="8"/>
      <c r="J1092" s="8" t="s">
        <v>19</v>
      </c>
      <c r="K1092" s="8"/>
    </row>
    <row r="1093" customFormat="false" ht="12.8" hidden="false" customHeight="false" outlineLevel="0" collapsed="false">
      <c r="A1093" s="6" t="str">
        <f aca="false">HYPERLINK("https://www.fabsurplus.com/sdi_catalog/salesItemDetails.do?id=100136")</f>
        <v>https://www.fabsurplus.com/sdi_catalog/salesItemDetails.do?id=100136</v>
      </c>
      <c r="B1093" s="6" t="s">
        <v>2666</v>
      </c>
      <c r="C1093" s="6" t="s">
        <v>208</v>
      </c>
      <c r="D1093" s="6" t="s">
        <v>2667</v>
      </c>
      <c r="E1093" s="6" t="s">
        <v>836</v>
      </c>
      <c r="F1093" s="6" t="s">
        <v>16</v>
      </c>
      <c r="G1093" s="6" t="s">
        <v>837</v>
      </c>
      <c r="H1093" s="6"/>
      <c r="I1093" s="6"/>
      <c r="J1093" s="6" t="s">
        <v>19</v>
      </c>
      <c r="K1093" s="6"/>
    </row>
    <row r="1094" customFormat="false" ht="12.8" hidden="false" customHeight="false" outlineLevel="0" collapsed="false">
      <c r="A1094" s="6" t="str">
        <f aca="false">HYPERLINK("https://www.fabsurplus.com/sdi_catalog/salesItemDetails.do?id=98578")</f>
        <v>https://www.fabsurplus.com/sdi_catalog/salesItemDetails.do?id=98578</v>
      </c>
      <c r="B1094" s="6" t="s">
        <v>2668</v>
      </c>
      <c r="C1094" s="6" t="s">
        <v>208</v>
      </c>
      <c r="D1094" s="6" t="s">
        <v>2669</v>
      </c>
      <c r="E1094" s="6" t="s">
        <v>2603</v>
      </c>
      <c r="F1094" s="6" t="s">
        <v>16</v>
      </c>
      <c r="G1094" s="6" t="s">
        <v>837</v>
      </c>
      <c r="H1094" s="6"/>
      <c r="I1094" s="6"/>
      <c r="J1094" s="6" t="s">
        <v>19</v>
      </c>
      <c r="K1094" s="6"/>
    </row>
    <row r="1095" customFormat="false" ht="12.8" hidden="false" customHeight="false" outlineLevel="0" collapsed="false">
      <c r="A1095" s="6" t="str">
        <f aca="false">HYPERLINK("https://www.fabsurplus.com/sdi_catalog/salesItemDetails.do?id=98577")</f>
        <v>https://www.fabsurplus.com/sdi_catalog/salesItemDetails.do?id=98577</v>
      </c>
      <c r="B1095" s="6" t="s">
        <v>2670</v>
      </c>
      <c r="C1095" s="6" t="s">
        <v>208</v>
      </c>
      <c r="D1095" s="6" t="s">
        <v>2669</v>
      </c>
      <c r="E1095" s="6" t="s">
        <v>2603</v>
      </c>
      <c r="F1095" s="6" t="s">
        <v>16</v>
      </c>
      <c r="G1095" s="6" t="s">
        <v>837</v>
      </c>
      <c r="H1095" s="6"/>
      <c r="I1095" s="6"/>
      <c r="J1095" s="6" t="s">
        <v>19</v>
      </c>
      <c r="K1095" s="6"/>
    </row>
    <row r="1096" customFormat="false" ht="12.8" hidden="false" customHeight="false" outlineLevel="0" collapsed="false">
      <c r="A1096" s="6" t="str">
        <f aca="false">HYPERLINK("https://www.fabsurplus.com/sdi_catalog/salesItemDetails.do?id=98576")</f>
        <v>https://www.fabsurplus.com/sdi_catalog/salesItemDetails.do?id=98576</v>
      </c>
      <c r="B1096" s="6" t="s">
        <v>2671</v>
      </c>
      <c r="C1096" s="6" t="s">
        <v>208</v>
      </c>
      <c r="D1096" s="6" t="s">
        <v>2669</v>
      </c>
      <c r="E1096" s="6" t="s">
        <v>2603</v>
      </c>
      <c r="F1096" s="6" t="s">
        <v>16</v>
      </c>
      <c r="G1096" s="6" t="s">
        <v>837</v>
      </c>
      <c r="H1096" s="6"/>
      <c r="I1096" s="6"/>
      <c r="J1096" s="6" t="s">
        <v>19</v>
      </c>
      <c r="K1096" s="6"/>
    </row>
    <row r="1097" customFormat="false" ht="12.8" hidden="false" customHeight="false" outlineLevel="0" collapsed="false">
      <c r="A1097" s="6" t="str">
        <f aca="false">HYPERLINK("https://www.fabsurplus.com/sdi_catalog/salesItemDetails.do?id=98610")</f>
        <v>https://www.fabsurplus.com/sdi_catalog/salesItemDetails.do?id=98610</v>
      </c>
      <c r="B1097" s="6" t="s">
        <v>2672</v>
      </c>
      <c r="C1097" s="6" t="s">
        <v>208</v>
      </c>
      <c r="D1097" s="6" t="s">
        <v>2673</v>
      </c>
      <c r="E1097" s="6" t="s">
        <v>2603</v>
      </c>
      <c r="F1097" s="6" t="s">
        <v>16</v>
      </c>
      <c r="G1097" s="6" t="s">
        <v>837</v>
      </c>
      <c r="H1097" s="6"/>
      <c r="I1097" s="6"/>
      <c r="J1097" s="6" t="s">
        <v>19</v>
      </c>
      <c r="K1097" s="6"/>
    </row>
    <row r="1098" customFormat="false" ht="12.8" hidden="false" customHeight="false" outlineLevel="0" collapsed="false">
      <c r="A1098" s="6" t="str">
        <f aca="false">HYPERLINK("https://www.fabsurplus.com/sdi_catalog/salesItemDetails.do?id=98609")</f>
        <v>https://www.fabsurplus.com/sdi_catalog/salesItemDetails.do?id=98609</v>
      </c>
      <c r="B1098" s="6" t="s">
        <v>2674</v>
      </c>
      <c r="C1098" s="6" t="s">
        <v>208</v>
      </c>
      <c r="D1098" s="6" t="s">
        <v>2673</v>
      </c>
      <c r="E1098" s="6" t="s">
        <v>2603</v>
      </c>
      <c r="F1098" s="6" t="s">
        <v>16</v>
      </c>
      <c r="G1098" s="6" t="s">
        <v>837</v>
      </c>
      <c r="H1098" s="6"/>
      <c r="I1098" s="6"/>
      <c r="J1098" s="6" t="s">
        <v>19</v>
      </c>
      <c r="K1098" s="6"/>
    </row>
    <row r="1099" customFormat="false" ht="12.8" hidden="false" customHeight="false" outlineLevel="0" collapsed="false">
      <c r="A1099" s="6" t="str">
        <f aca="false">HYPERLINK("https://www.fabsurplus.com/sdi_catalog/salesItemDetails.do?id=98590")</f>
        <v>https://www.fabsurplus.com/sdi_catalog/salesItemDetails.do?id=98590</v>
      </c>
      <c r="B1099" s="6" t="s">
        <v>2675</v>
      </c>
      <c r="C1099" s="6" t="s">
        <v>208</v>
      </c>
      <c r="D1099" s="6" t="s">
        <v>2673</v>
      </c>
      <c r="E1099" s="6" t="s">
        <v>2603</v>
      </c>
      <c r="F1099" s="6" t="s">
        <v>16</v>
      </c>
      <c r="G1099" s="6" t="s">
        <v>837</v>
      </c>
      <c r="H1099" s="6"/>
      <c r="I1099" s="6"/>
      <c r="J1099" s="6" t="s">
        <v>19</v>
      </c>
      <c r="K1099" s="6"/>
    </row>
    <row r="1100" customFormat="false" ht="12.8" hidden="false" customHeight="false" outlineLevel="0" collapsed="false">
      <c r="A1100" s="8" t="str">
        <f aca="false">HYPERLINK("https://www.fabsurplus.com/sdi_catalog/salesItemDetails.do?id=98589")</f>
        <v>https://www.fabsurplus.com/sdi_catalog/salesItemDetails.do?id=98589</v>
      </c>
      <c r="B1100" s="8" t="s">
        <v>2676</v>
      </c>
      <c r="C1100" s="8" t="s">
        <v>208</v>
      </c>
      <c r="D1100" s="8" t="s">
        <v>2673</v>
      </c>
      <c r="E1100" s="8" t="s">
        <v>2603</v>
      </c>
      <c r="F1100" s="8" t="s">
        <v>16</v>
      </c>
      <c r="G1100" s="8" t="s">
        <v>837</v>
      </c>
      <c r="H1100" s="8"/>
      <c r="I1100" s="8"/>
      <c r="J1100" s="8" t="s">
        <v>19</v>
      </c>
      <c r="K1100" s="8"/>
    </row>
    <row r="1101" customFormat="false" ht="12.8" hidden="false" customHeight="false" outlineLevel="0" collapsed="false">
      <c r="A1101" s="6" t="str">
        <f aca="false">HYPERLINK("https://www.fabsurplus.com/sdi_catalog/salesItemDetails.do?id=98588")</f>
        <v>https://www.fabsurplus.com/sdi_catalog/salesItemDetails.do?id=98588</v>
      </c>
      <c r="B1101" s="6" t="s">
        <v>2677</v>
      </c>
      <c r="C1101" s="6" t="s">
        <v>208</v>
      </c>
      <c r="D1101" s="6" t="s">
        <v>2673</v>
      </c>
      <c r="E1101" s="6" t="s">
        <v>2603</v>
      </c>
      <c r="F1101" s="6" t="s">
        <v>16</v>
      </c>
      <c r="G1101" s="6" t="s">
        <v>837</v>
      </c>
      <c r="H1101" s="6"/>
      <c r="I1101" s="6"/>
      <c r="J1101" s="6" t="s">
        <v>19</v>
      </c>
      <c r="K1101" s="6"/>
    </row>
    <row r="1102" customFormat="false" ht="12.8" hidden="false" customHeight="false" outlineLevel="0" collapsed="false">
      <c r="A1102" s="8" t="str">
        <f aca="false">HYPERLINK("https://www.fabsurplus.com/sdi_catalog/salesItemDetails.do?id=98587")</f>
        <v>https://www.fabsurplus.com/sdi_catalog/salesItemDetails.do?id=98587</v>
      </c>
      <c r="B1102" s="8" t="s">
        <v>2678</v>
      </c>
      <c r="C1102" s="8" t="s">
        <v>208</v>
      </c>
      <c r="D1102" s="8" t="s">
        <v>2673</v>
      </c>
      <c r="E1102" s="8" t="s">
        <v>2603</v>
      </c>
      <c r="F1102" s="8" t="s">
        <v>16</v>
      </c>
      <c r="G1102" s="8" t="s">
        <v>837</v>
      </c>
      <c r="H1102" s="8"/>
      <c r="I1102" s="8"/>
      <c r="J1102" s="8" t="s">
        <v>19</v>
      </c>
      <c r="K1102" s="8"/>
    </row>
    <row r="1103" customFormat="false" ht="12.8" hidden="false" customHeight="false" outlineLevel="0" collapsed="false">
      <c r="A1103" s="6" t="str">
        <f aca="false">HYPERLINK("https://www.fabsurplus.com/sdi_catalog/salesItemDetails.do?id=98586")</f>
        <v>https://www.fabsurplus.com/sdi_catalog/salesItemDetails.do?id=98586</v>
      </c>
      <c r="B1103" s="6" t="s">
        <v>2679</v>
      </c>
      <c r="C1103" s="6" t="s">
        <v>208</v>
      </c>
      <c r="D1103" s="6" t="s">
        <v>2673</v>
      </c>
      <c r="E1103" s="6" t="s">
        <v>2603</v>
      </c>
      <c r="F1103" s="6" t="s">
        <v>16</v>
      </c>
      <c r="G1103" s="6" t="s">
        <v>837</v>
      </c>
      <c r="H1103" s="6"/>
      <c r="I1103" s="6"/>
      <c r="J1103" s="6" t="s">
        <v>19</v>
      </c>
      <c r="K1103" s="6"/>
    </row>
    <row r="1104" customFormat="false" ht="12.8" hidden="false" customHeight="false" outlineLevel="0" collapsed="false">
      <c r="A1104" s="8" t="str">
        <f aca="false">HYPERLINK("https://www.fabsurplus.com/sdi_catalog/salesItemDetails.do?id=98585")</f>
        <v>https://www.fabsurplus.com/sdi_catalog/salesItemDetails.do?id=98585</v>
      </c>
      <c r="B1104" s="8" t="s">
        <v>2680</v>
      </c>
      <c r="C1104" s="8" t="s">
        <v>208</v>
      </c>
      <c r="D1104" s="8" t="s">
        <v>2673</v>
      </c>
      <c r="E1104" s="8" t="s">
        <v>2603</v>
      </c>
      <c r="F1104" s="8" t="s">
        <v>16</v>
      </c>
      <c r="G1104" s="8" t="s">
        <v>837</v>
      </c>
      <c r="H1104" s="8"/>
      <c r="I1104" s="8"/>
      <c r="J1104" s="8" t="s">
        <v>19</v>
      </c>
      <c r="K1104" s="8"/>
    </row>
    <row r="1105" customFormat="false" ht="12.8" hidden="false" customHeight="false" outlineLevel="0" collapsed="false">
      <c r="A1105" s="6" t="str">
        <f aca="false">HYPERLINK("https://www.fabsurplus.com/sdi_catalog/salesItemDetails.do?id=98584")</f>
        <v>https://www.fabsurplus.com/sdi_catalog/salesItemDetails.do?id=98584</v>
      </c>
      <c r="B1105" s="6" t="s">
        <v>2681</v>
      </c>
      <c r="C1105" s="6" t="s">
        <v>208</v>
      </c>
      <c r="D1105" s="6" t="s">
        <v>2673</v>
      </c>
      <c r="E1105" s="6" t="s">
        <v>2603</v>
      </c>
      <c r="F1105" s="6" t="s">
        <v>16</v>
      </c>
      <c r="G1105" s="6" t="s">
        <v>837</v>
      </c>
      <c r="H1105" s="6"/>
      <c r="I1105" s="6"/>
      <c r="J1105" s="6" t="s">
        <v>19</v>
      </c>
      <c r="K1105" s="6"/>
    </row>
    <row r="1106" customFormat="false" ht="12.8" hidden="false" customHeight="false" outlineLevel="0" collapsed="false">
      <c r="A1106" s="8" t="str">
        <f aca="false">HYPERLINK("https://www.fabsurplus.com/sdi_catalog/salesItemDetails.do?id=98583")</f>
        <v>https://www.fabsurplus.com/sdi_catalog/salesItemDetails.do?id=98583</v>
      </c>
      <c r="B1106" s="8" t="s">
        <v>2682</v>
      </c>
      <c r="C1106" s="8" t="s">
        <v>208</v>
      </c>
      <c r="D1106" s="8" t="s">
        <v>2673</v>
      </c>
      <c r="E1106" s="8" t="s">
        <v>2603</v>
      </c>
      <c r="F1106" s="8" t="s">
        <v>16</v>
      </c>
      <c r="G1106" s="8" t="s">
        <v>837</v>
      </c>
      <c r="H1106" s="8"/>
      <c r="I1106" s="8"/>
      <c r="J1106" s="8" t="s">
        <v>19</v>
      </c>
      <c r="K1106" s="8"/>
    </row>
    <row r="1107" customFormat="false" ht="12.8" hidden="false" customHeight="false" outlineLevel="0" collapsed="false">
      <c r="A1107" s="8" t="str">
        <f aca="false">HYPERLINK("https://www.fabsurplus.com/sdi_catalog/salesItemDetails.do?id=98582")</f>
        <v>https://www.fabsurplus.com/sdi_catalog/salesItemDetails.do?id=98582</v>
      </c>
      <c r="B1107" s="8" t="s">
        <v>2683</v>
      </c>
      <c r="C1107" s="8" t="s">
        <v>208</v>
      </c>
      <c r="D1107" s="8" t="s">
        <v>2673</v>
      </c>
      <c r="E1107" s="8" t="s">
        <v>2603</v>
      </c>
      <c r="F1107" s="8" t="s">
        <v>16</v>
      </c>
      <c r="G1107" s="8" t="s">
        <v>837</v>
      </c>
      <c r="H1107" s="8"/>
      <c r="I1107" s="8"/>
      <c r="J1107" s="8" t="s">
        <v>19</v>
      </c>
      <c r="K1107" s="8"/>
    </row>
    <row r="1108" customFormat="false" ht="12.8" hidden="false" customHeight="false" outlineLevel="0" collapsed="false">
      <c r="A1108" s="8" t="str">
        <f aca="false">HYPERLINK("https://www.fabsurplus.com/sdi_catalog/salesItemDetails.do?id=98581")</f>
        <v>https://www.fabsurplus.com/sdi_catalog/salesItemDetails.do?id=98581</v>
      </c>
      <c r="B1108" s="8" t="s">
        <v>2684</v>
      </c>
      <c r="C1108" s="8" t="s">
        <v>208</v>
      </c>
      <c r="D1108" s="8" t="s">
        <v>2673</v>
      </c>
      <c r="E1108" s="8" t="s">
        <v>2603</v>
      </c>
      <c r="F1108" s="8" t="s">
        <v>16</v>
      </c>
      <c r="G1108" s="8" t="s">
        <v>837</v>
      </c>
      <c r="H1108" s="8"/>
      <c r="I1108" s="8"/>
      <c r="J1108" s="8" t="s">
        <v>19</v>
      </c>
      <c r="K1108" s="8"/>
    </row>
    <row r="1109" customFormat="false" ht="12.8" hidden="false" customHeight="false" outlineLevel="0" collapsed="false">
      <c r="A1109" s="8" t="str">
        <f aca="false">HYPERLINK("https://www.fabsurplus.com/sdi_catalog/salesItemDetails.do?id=98580")</f>
        <v>https://www.fabsurplus.com/sdi_catalog/salesItemDetails.do?id=98580</v>
      </c>
      <c r="B1109" s="8" t="s">
        <v>2685</v>
      </c>
      <c r="C1109" s="8" t="s">
        <v>208</v>
      </c>
      <c r="D1109" s="8" t="s">
        <v>2673</v>
      </c>
      <c r="E1109" s="8" t="s">
        <v>2603</v>
      </c>
      <c r="F1109" s="8" t="s">
        <v>16</v>
      </c>
      <c r="G1109" s="8" t="s">
        <v>837</v>
      </c>
      <c r="H1109" s="8"/>
      <c r="I1109" s="8"/>
      <c r="J1109" s="8" t="s">
        <v>19</v>
      </c>
      <c r="K1109" s="8"/>
    </row>
    <row r="1110" customFormat="false" ht="12.8" hidden="false" customHeight="false" outlineLevel="0" collapsed="false">
      <c r="A1110" s="8" t="str">
        <f aca="false">HYPERLINK("https://www.fabsurplus.com/sdi_catalog/salesItemDetails.do?id=98579")</f>
        <v>https://www.fabsurplus.com/sdi_catalog/salesItemDetails.do?id=98579</v>
      </c>
      <c r="B1110" s="8" t="s">
        <v>2686</v>
      </c>
      <c r="C1110" s="8" t="s">
        <v>208</v>
      </c>
      <c r="D1110" s="8" t="s">
        <v>2673</v>
      </c>
      <c r="E1110" s="8" t="s">
        <v>2603</v>
      </c>
      <c r="F1110" s="8" t="s">
        <v>16</v>
      </c>
      <c r="G1110" s="8" t="s">
        <v>837</v>
      </c>
      <c r="H1110" s="8"/>
      <c r="I1110" s="8"/>
      <c r="J1110" s="8" t="s">
        <v>19</v>
      </c>
      <c r="K1110" s="8"/>
    </row>
    <row r="1111" customFormat="false" ht="12.8" hidden="false" customHeight="false" outlineLevel="0" collapsed="false">
      <c r="A1111" s="6" t="str">
        <f aca="false">HYPERLINK("https://www.fabsurplus.com/sdi_catalog/salesItemDetails.do?id=100137")</f>
        <v>https://www.fabsurplus.com/sdi_catalog/salesItemDetails.do?id=100137</v>
      </c>
      <c r="B1111" s="6" t="s">
        <v>2687</v>
      </c>
      <c r="C1111" s="6" t="s">
        <v>208</v>
      </c>
      <c r="D1111" s="6" t="s">
        <v>2688</v>
      </c>
      <c r="E1111" s="6" t="s">
        <v>836</v>
      </c>
      <c r="F1111" s="6" t="s">
        <v>16</v>
      </c>
      <c r="G1111" s="6" t="s">
        <v>837</v>
      </c>
      <c r="H1111" s="6"/>
      <c r="I1111" s="6"/>
      <c r="J1111" s="6" t="s">
        <v>19</v>
      </c>
      <c r="K1111" s="6"/>
    </row>
    <row r="1112" customFormat="false" ht="12.8" hidden="false" customHeight="false" outlineLevel="0" collapsed="false">
      <c r="A1112" s="8" t="str">
        <f aca="false">HYPERLINK("https://www.fabsurplus.com/sdi_catalog/salesItemDetails.do?id=100140")</f>
        <v>https://www.fabsurplus.com/sdi_catalog/salesItemDetails.do?id=100140</v>
      </c>
      <c r="B1112" s="8" t="s">
        <v>2689</v>
      </c>
      <c r="C1112" s="8" t="s">
        <v>208</v>
      </c>
      <c r="D1112" s="8" t="s">
        <v>2690</v>
      </c>
      <c r="E1112" s="8" t="s">
        <v>836</v>
      </c>
      <c r="F1112" s="8" t="s">
        <v>16</v>
      </c>
      <c r="G1112" s="8" t="s">
        <v>837</v>
      </c>
      <c r="H1112" s="8"/>
      <c r="I1112" s="9" t="n">
        <v>43617</v>
      </c>
      <c r="J1112" s="8" t="s">
        <v>19</v>
      </c>
      <c r="K1112" s="8"/>
    </row>
    <row r="1113" customFormat="false" ht="12.8" hidden="false" customHeight="false" outlineLevel="0" collapsed="false">
      <c r="A1113" s="6" t="str">
        <f aca="false">HYPERLINK("https://www.fabsurplus.com/sdi_catalog/salesItemDetails.do?id=100139")</f>
        <v>https://www.fabsurplus.com/sdi_catalog/salesItemDetails.do?id=100139</v>
      </c>
      <c r="B1113" s="6" t="s">
        <v>2691</v>
      </c>
      <c r="C1113" s="6" t="s">
        <v>208</v>
      </c>
      <c r="D1113" s="6" t="s">
        <v>2690</v>
      </c>
      <c r="E1113" s="6" t="s">
        <v>836</v>
      </c>
      <c r="F1113" s="6" t="s">
        <v>16</v>
      </c>
      <c r="G1113" s="6" t="s">
        <v>837</v>
      </c>
      <c r="H1113" s="6"/>
      <c r="I1113" s="6"/>
      <c r="J1113" s="6" t="s">
        <v>19</v>
      </c>
      <c r="K1113" s="6"/>
    </row>
    <row r="1114" customFormat="false" ht="12.8" hidden="false" customHeight="false" outlineLevel="0" collapsed="false">
      <c r="A1114" s="8" t="str">
        <f aca="false">HYPERLINK("https://www.fabsurplus.com/sdi_catalog/salesItemDetails.do?id=100138")</f>
        <v>https://www.fabsurplus.com/sdi_catalog/salesItemDetails.do?id=100138</v>
      </c>
      <c r="B1114" s="8" t="s">
        <v>2692</v>
      </c>
      <c r="C1114" s="8" t="s">
        <v>208</v>
      </c>
      <c r="D1114" s="8" t="s">
        <v>2690</v>
      </c>
      <c r="E1114" s="8" t="s">
        <v>836</v>
      </c>
      <c r="F1114" s="8" t="s">
        <v>16</v>
      </c>
      <c r="G1114" s="8" t="s">
        <v>837</v>
      </c>
      <c r="H1114" s="8"/>
      <c r="I1114" s="8"/>
      <c r="J1114" s="8" t="s">
        <v>19</v>
      </c>
      <c r="K1114" s="8"/>
    </row>
    <row r="1115" customFormat="false" ht="12.8" hidden="false" customHeight="false" outlineLevel="0" collapsed="false">
      <c r="A1115" s="8" t="str">
        <f aca="false">HYPERLINK("https://www.fabsurplus.com/sdi_catalog/salesItemDetails.do?id=96855")</f>
        <v>https://www.fabsurplus.com/sdi_catalog/salesItemDetails.do?id=96855</v>
      </c>
      <c r="B1115" s="8" t="s">
        <v>2693</v>
      </c>
      <c r="C1115" s="8" t="s">
        <v>208</v>
      </c>
      <c r="D1115" s="8" t="s">
        <v>2690</v>
      </c>
      <c r="E1115" s="8" t="s">
        <v>836</v>
      </c>
      <c r="F1115" s="8" t="s">
        <v>781</v>
      </c>
      <c r="G1115" s="8" t="s">
        <v>837</v>
      </c>
      <c r="H1115" s="8"/>
      <c r="I1115" s="8"/>
      <c r="J1115" s="8" t="s">
        <v>19</v>
      </c>
      <c r="K1115" s="8"/>
    </row>
    <row r="1116" customFormat="false" ht="12.8" hidden="false" customHeight="false" outlineLevel="0" collapsed="false">
      <c r="A1116" s="6" t="str">
        <f aca="false">HYPERLINK("https://www.fabsurplus.com/sdi_catalog/salesItemDetails.do?id=98388")</f>
        <v>https://www.fabsurplus.com/sdi_catalog/salesItemDetails.do?id=98388</v>
      </c>
      <c r="B1116" s="6" t="s">
        <v>2694</v>
      </c>
      <c r="C1116" s="6" t="s">
        <v>208</v>
      </c>
      <c r="D1116" s="6" t="s">
        <v>2695</v>
      </c>
      <c r="E1116" s="6" t="s">
        <v>182</v>
      </c>
      <c r="F1116" s="6" t="s">
        <v>16</v>
      </c>
      <c r="G1116" s="6"/>
      <c r="H1116" s="6"/>
      <c r="I1116" s="6"/>
      <c r="J1116" s="6" t="s">
        <v>19</v>
      </c>
      <c r="K1116" s="6"/>
    </row>
    <row r="1117" customFormat="false" ht="12.8" hidden="false" customHeight="false" outlineLevel="0" collapsed="false">
      <c r="A1117" s="8" t="str">
        <f aca="false">HYPERLINK("https://www.fabsurplus.com/sdi_catalog/salesItemDetails.do?id=100146")</f>
        <v>https://www.fabsurplus.com/sdi_catalog/salesItemDetails.do?id=100146</v>
      </c>
      <c r="B1117" s="8" t="s">
        <v>2696</v>
      </c>
      <c r="C1117" s="8" t="s">
        <v>208</v>
      </c>
      <c r="D1117" s="8" t="s">
        <v>2697</v>
      </c>
      <c r="E1117" s="8" t="s">
        <v>836</v>
      </c>
      <c r="F1117" s="8" t="s">
        <v>16</v>
      </c>
      <c r="G1117" s="8" t="s">
        <v>837</v>
      </c>
      <c r="H1117" s="8"/>
      <c r="I1117" s="8"/>
      <c r="J1117" s="8" t="s">
        <v>19</v>
      </c>
      <c r="K1117" s="8"/>
    </row>
    <row r="1118" customFormat="false" ht="12.8" hidden="false" customHeight="false" outlineLevel="0" collapsed="false">
      <c r="A1118" s="8" t="str">
        <f aca="false">HYPERLINK("https://www.fabsurplus.com/sdi_catalog/salesItemDetails.do?id=100145")</f>
        <v>https://www.fabsurplus.com/sdi_catalog/salesItemDetails.do?id=100145</v>
      </c>
      <c r="B1118" s="8" t="s">
        <v>2698</v>
      </c>
      <c r="C1118" s="8" t="s">
        <v>208</v>
      </c>
      <c r="D1118" s="8" t="s">
        <v>2697</v>
      </c>
      <c r="E1118" s="8" t="s">
        <v>836</v>
      </c>
      <c r="F1118" s="8" t="s">
        <v>16</v>
      </c>
      <c r="G1118" s="8" t="s">
        <v>837</v>
      </c>
      <c r="H1118" s="8"/>
      <c r="I1118" s="8"/>
      <c r="J1118" s="8" t="s">
        <v>19</v>
      </c>
      <c r="K1118" s="8"/>
    </row>
    <row r="1119" customFormat="false" ht="12.8" hidden="false" customHeight="false" outlineLevel="0" collapsed="false">
      <c r="A1119" s="8" t="str">
        <f aca="false">HYPERLINK("https://www.fabsurplus.com/sdi_catalog/salesItemDetails.do?id=100144")</f>
        <v>https://www.fabsurplus.com/sdi_catalog/salesItemDetails.do?id=100144</v>
      </c>
      <c r="B1119" s="8" t="s">
        <v>2699</v>
      </c>
      <c r="C1119" s="8" t="s">
        <v>208</v>
      </c>
      <c r="D1119" s="8" t="s">
        <v>2697</v>
      </c>
      <c r="E1119" s="8" t="s">
        <v>836</v>
      </c>
      <c r="F1119" s="8" t="s">
        <v>16</v>
      </c>
      <c r="G1119" s="8" t="s">
        <v>837</v>
      </c>
      <c r="H1119" s="8"/>
      <c r="I1119" s="8"/>
      <c r="J1119" s="8" t="s">
        <v>19</v>
      </c>
      <c r="K1119" s="8"/>
    </row>
    <row r="1120" customFormat="false" ht="12.8" hidden="false" customHeight="false" outlineLevel="0" collapsed="false">
      <c r="A1120" s="6" t="str">
        <f aca="false">HYPERLINK("https://www.fabsurplus.com/sdi_catalog/salesItemDetails.do?id=100143")</f>
        <v>https://www.fabsurplus.com/sdi_catalog/salesItemDetails.do?id=100143</v>
      </c>
      <c r="B1120" s="6" t="s">
        <v>2700</v>
      </c>
      <c r="C1120" s="6" t="s">
        <v>208</v>
      </c>
      <c r="D1120" s="6" t="s">
        <v>2697</v>
      </c>
      <c r="E1120" s="6" t="s">
        <v>836</v>
      </c>
      <c r="F1120" s="6" t="s">
        <v>16</v>
      </c>
      <c r="G1120" s="6" t="s">
        <v>837</v>
      </c>
      <c r="H1120" s="6"/>
      <c r="I1120" s="6"/>
      <c r="J1120" s="6" t="s">
        <v>19</v>
      </c>
      <c r="K1120" s="6"/>
    </row>
    <row r="1121" customFormat="false" ht="12.8" hidden="false" customHeight="false" outlineLevel="0" collapsed="false">
      <c r="A1121" s="8" t="str">
        <f aca="false">HYPERLINK("https://www.fabsurplus.com/sdi_catalog/salesItemDetails.do?id=100142")</f>
        <v>https://www.fabsurplus.com/sdi_catalog/salesItemDetails.do?id=100142</v>
      </c>
      <c r="B1121" s="8" t="s">
        <v>2701</v>
      </c>
      <c r="C1121" s="8" t="s">
        <v>208</v>
      </c>
      <c r="D1121" s="8" t="s">
        <v>2697</v>
      </c>
      <c r="E1121" s="8" t="s">
        <v>836</v>
      </c>
      <c r="F1121" s="8" t="s">
        <v>16</v>
      </c>
      <c r="G1121" s="8" t="s">
        <v>837</v>
      </c>
      <c r="H1121" s="8"/>
      <c r="I1121" s="8"/>
      <c r="J1121" s="8" t="s">
        <v>19</v>
      </c>
      <c r="K1121" s="8"/>
    </row>
    <row r="1122" customFormat="false" ht="12.8" hidden="false" customHeight="false" outlineLevel="0" collapsed="false">
      <c r="A1122" s="6" t="str">
        <f aca="false">HYPERLINK("https://www.fabsurplus.com/sdi_catalog/salesItemDetails.do?id=100141")</f>
        <v>https://www.fabsurplus.com/sdi_catalog/salesItemDetails.do?id=100141</v>
      </c>
      <c r="B1122" s="6" t="s">
        <v>2702</v>
      </c>
      <c r="C1122" s="6" t="s">
        <v>208</v>
      </c>
      <c r="D1122" s="6" t="s">
        <v>2697</v>
      </c>
      <c r="E1122" s="6" t="s">
        <v>836</v>
      </c>
      <c r="F1122" s="6" t="s">
        <v>16</v>
      </c>
      <c r="G1122" s="6" t="s">
        <v>837</v>
      </c>
      <c r="H1122" s="6"/>
      <c r="I1122" s="6"/>
      <c r="J1122" s="6" t="s">
        <v>19</v>
      </c>
      <c r="K1122" s="6"/>
    </row>
    <row r="1123" customFormat="false" ht="12.8" hidden="false" customHeight="false" outlineLevel="0" collapsed="false">
      <c r="A1123" s="8" t="str">
        <f aca="false">HYPERLINK("https://www.fabsurplus.com/sdi_catalog/salesItemDetails.do?id=98598")</f>
        <v>https://www.fabsurplus.com/sdi_catalog/salesItemDetails.do?id=98598</v>
      </c>
      <c r="B1123" s="8" t="s">
        <v>2703</v>
      </c>
      <c r="C1123" s="8" t="s">
        <v>208</v>
      </c>
      <c r="D1123" s="8" t="s">
        <v>2704</v>
      </c>
      <c r="E1123" s="8" t="s">
        <v>2603</v>
      </c>
      <c r="F1123" s="8" t="s">
        <v>16</v>
      </c>
      <c r="G1123" s="8" t="s">
        <v>837</v>
      </c>
      <c r="H1123" s="8"/>
      <c r="I1123" s="8"/>
      <c r="J1123" s="8" t="s">
        <v>19</v>
      </c>
      <c r="K1123" s="8"/>
    </row>
    <row r="1124" customFormat="false" ht="12.8" hidden="false" customHeight="false" outlineLevel="0" collapsed="false">
      <c r="A1124" s="8" t="str">
        <f aca="false">HYPERLINK("https://www.fabsurplus.com/sdi_catalog/salesItemDetails.do?id=98601")</f>
        <v>https://www.fabsurplus.com/sdi_catalog/salesItemDetails.do?id=98601</v>
      </c>
      <c r="B1124" s="8" t="s">
        <v>2705</v>
      </c>
      <c r="C1124" s="8" t="s">
        <v>208</v>
      </c>
      <c r="D1124" s="8" t="s">
        <v>2706</v>
      </c>
      <c r="E1124" s="8" t="s">
        <v>2603</v>
      </c>
      <c r="F1124" s="8" t="s">
        <v>16</v>
      </c>
      <c r="G1124" s="8" t="s">
        <v>837</v>
      </c>
      <c r="H1124" s="8"/>
      <c r="I1124" s="8"/>
      <c r="J1124" s="8" t="s">
        <v>19</v>
      </c>
      <c r="K1124" s="8"/>
    </row>
    <row r="1125" customFormat="false" ht="12.8" hidden="false" customHeight="false" outlineLevel="0" collapsed="false">
      <c r="A1125" s="8" t="str">
        <f aca="false">HYPERLINK("https://www.fabsurplus.com/sdi_catalog/salesItemDetails.do?id=98600")</f>
        <v>https://www.fabsurplus.com/sdi_catalog/salesItemDetails.do?id=98600</v>
      </c>
      <c r="B1125" s="8" t="s">
        <v>2707</v>
      </c>
      <c r="C1125" s="8" t="s">
        <v>208</v>
      </c>
      <c r="D1125" s="8" t="s">
        <v>2706</v>
      </c>
      <c r="E1125" s="8" t="s">
        <v>2603</v>
      </c>
      <c r="F1125" s="8" t="s">
        <v>16</v>
      </c>
      <c r="G1125" s="8" t="s">
        <v>837</v>
      </c>
      <c r="H1125" s="8"/>
      <c r="I1125" s="8"/>
      <c r="J1125" s="8" t="s">
        <v>19</v>
      </c>
      <c r="K1125" s="8"/>
    </row>
    <row r="1126" customFormat="false" ht="12.8" hidden="false" customHeight="false" outlineLevel="0" collapsed="false">
      <c r="A1126" s="8" t="str">
        <f aca="false">HYPERLINK("https://www.fabsurplus.com/sdi_catalog/salesItemDetails.do?id=98599")</f>
        <v>https://www.fabsurplus.com/sdi_catalog/salesItemDetails.do?id=98599</v>
      </c>
      <c r="B1126" s="8" t="s">
        <v>2708</v>
      </c>
      <c r="C1126" s="8" t="s">
        <v>208</v>
      </c>
      <c r="D1126" s="8" t="s">
        <v>2706</v>
      </c>
      <c r="E1126" s="8" t="s">
        <v>2603</v>
      </c>
      <c r="F1126" s="8" t="s">
        <v>16</v>
      </c>
      <c r="G1126" s="8" t="s">
        <v>837</v>
      </c>
      <c r="H1126" s="8"/>
      <c r="I1126" s="8"/>
      <c r="J1126" s="8" t="s">
        <v>19</v>
      </c>
      <c r="K1126" s="8"/>
    </row>
    <row r="1127" customFormat="false" ht="12.8" hidden="false" customHeight="false" outlineLevel="0" collapsed="false">
      <c r="A1127" s="6" t="str">
        <f aca="false">HYPERLINK("https://www.fabsurplus.com/sdi_catalog/salesItemDetails.do?id=100147")</f>
        <v>https://www.fabsurplus.com/sdi_catalog/salesItemDetails.do?id=100147</v>
      </c>
      <c r="B1127" s="6" t="s">
        <v>2709</v>
      </c>
      <c r="C1127" s="6" t="s">
        <v>208</v>
      </c>
      <c r="D1127" s="6" t="s">
        <v>2710</v>
      </c>
      <c r="E1127" s="6" t="s">
        <v>836</v>
      </c>
      <c r="F1127" s="6" t="s">
        <v>16</v>
      </c>
      <c r="G1127" s="6" t="s">
        <v>837</v>
      </c>
      <c r="H1127" s="6"/>
      <c r="I1127" s="6"/>
      <c r="J1127" s="6" t="s">
        <v>19</v>
      </c>
      <c r="K1127" s="6"/>
    </row>
    <row r="1128" customFormat="false" ht="12.8" hidden="false" customHeight="false" outlineLevel="0" collapsed="false">
      <c r="A1128" s="6" t="str">
        <f aca="false">HYPERLINK("https://www.fabsurplus.com/sdi_catalog/salesItemDetails.do?id=98059")</f>
        <v>https://www.fabsurplus.com/sdi_catalog/salesItemDetails.do?id=98059</v>
      </c>
      <c r="B1128" s="6" t="s">
        <v>2711</v>
      </c>
      <c r="C1128" s="6" t="s">
        <v>2651</v>
      </c>
      <c r="D1128" s="6" t="s">
        <v>2712</v>
      </c>
      <c r="E1128" s="6" t="s">
        <v>836</v>
      </c>
      <c r="F1128" s="6" t="s">
        <v>16</v>
      </c>
      <c r="G1128" s="6"/>
      <c r="H1128" s="6" t="s">
        <v>18</v>
      </c>
      <c r="I1128" s="6"/>
      <c r="J1128" s="6" t="s">
        <v>19</v>
      </c>
      <c r="K1128" s="6" t="s">
        <v>20</v>
      </c>
    </row>
    <row r="1129" customFormat="false" ht="12.8" hidden="false" customHeight="false" outlineLevel="0" collapsed="false">
      <c r="A1129" s="6" t="str">
        <f aca="false">HYPERLINK("https://www.fabsurplus.com/sdi_catalog/salesItemDetails.do?id=100153")</f>
        <v>https://www.fabsurplus.com/sdi_catalog/salesItemDetails.do?id=100153</v>
      </c>
      <c r="B1129" s="6" t="s">
        <v>2713</v>
      </c>
      <c r="C1129" s="6" t="s">
        <v>208</v>
      </c>
      <c r="D1129" s="6" t="s">
        <v>2714</v>
      </c>
      <c r="E1129" s="6" t="s">
        <v>836</v>
      </c>
      <c r="F1129" s="6" t="s">
        <v>16</v>
      </c>
      <c r="G1129" s="6" t="s">
        <v>837</v>
      </c>
      <c r="H1129" s="6"/>
      <c r="I1129" s="6"/>
      <c r="J1129" s="6" t="s">
        <v>19</v>
      </c>
      <c r="K1129" s="6"/>
    </row>
    <row r="1130" customFormat="false" ht="12.8" hidden="false" customHeight="false" outlineLevel="0" collapsed="false">
      <c r="A1130" s="6" t="str">
        <f aca="false">HYPERLINK("https://www.fabsurplus.com/sdi_catalog/salesItemDetails.do?id=100152")</f>
        <v>https://www.fabsurplus.com/sdi_catalog/salesItemDetails.do?id=100152</v>
      </c>
      <c r="B1130" s="6" t="s">
        <v>2715</v>
      </c>
      <c r="C1130" s="6" t="s">
        <v>208</v>
      </c>
      <c r="D1130" s="6" t="s">
        <v>2714</v>
      </c>
      <c r="E1130" s="6" t="s">
        <v>836</v>
      </c>
      <c r="F1130" s="6" t="s">
        <v>16</v>
      </c>
      <c r="G1130" s="6" t="s">
        <v>837</v>
      </c>
      <c r="H1130" s="6"/>
      <c r="I1130" s="6"/>
      <c r="J1130" s="6" t="s">
        <v>19</v>
      </c>
      <c r="K1130" s="6"/>
    </row>
    <row r="1131" customFormat="false" ht="12.8" hidden="false" customHeight="false" outlineLevel="0" collapsed="false">
      <c r="A1131" s="8" t="str">
        <f aca="false">HYPERLINK("https://www.fabsurplus.com/sdi_catalog/salesItemDetails.do?id=100151")</f>
        <v>https://www.fabsurplus.com/sdi_catalog/salesItemDetails.do?id=100151</v>
      </c>
      <c r="B1131" s="8" t="s">
        <v>2716</v>
      </c>
      <c r="C1131" s="8" t="s">
        <v>208</v>
      </c>
      <c r="D1131" s="8" t="s">
        <v>2714</v>
      </c>
      <c r="E1131" s="8" t="s">
        <v>836</v>
      </c>
      <c r="F1131" s="8" t="s">
        <v>16</v>
      </c>
      <c r="G1131" s="8" t="s">
        <v>837</v>
      </c>
      <c r="H1131" s="8"/>
      <c r="I1131" s="8"/>
      <c r="J1131" s="8" t="s">
        <v>19</v>
      </c>
      <c r="K1131" s="8"/>
    </row>
    <row r="1132" customFormat="false" ht="12.8" hidden="false" customHeight="false" outlineLevel="0" collapsed="false">
      <c r="A1132" s="6" t="str">
        <f aca="false">HYPERLINK("https://www.fabsurplus.com/sdi_catalog/salesItemDetails.do?id=100150")</f>
        <v>https://www.fabsurplus.com/sdi_catalog/salesItemDetails.do?id=100150</v>
      </c>
      <c r="B1132" s="6" t="s">
        <v>2717</v>
      </c>
      <c r="C1132" s="6" t="s">
        <v>208</v>
      </c>
      <c r="D1132" s="6" t="s">
        <v>2714</v>
      </c>
      <c r="E1132" s="6" t="s">
        <v>836</v>
      </c>
      <c r="F1132" s="6" t="s">
        <v>16</v>
      </c>
      <c r="G1132" s="6" t="s">
        <v>837</v>
      </c>
      <c r="H1132" s="6"/>
      <c r="I1132" s="6"/>
      <c r="J1132" s="6" t="s">
        <v>19</v>
      </c>
      <c r="K1132" s="6"/>
    </row>
    <row r="1133" customFormat="false" ht="12.8" hidden="false" customHeight="false" outlineLevel="0" collapsed="false">
      <c r="A1133" s="8" t="str">
        <f aca="false">HYPERLINK("https://www.fabsurplus.com/sdi_catalog/salesItemDetails.do?id=100149")</f>
        <v>https://www.fabsurplus.com/sdi_catalog/salesItemDetails.do?id=100149</v>
      </c>
      <c r="B1133" s="8" t="s">
        <v>2718</v>
      </c>
      <c r="C1133" s="8" t="s">
        <v>208</v>
      </c>
      <c r="D1133" s="8" t="s">
        <v>2714</v>
      </c>
      <c r="E1133" s="8" t="s">
        <v>836</v>
      </c>
      <c r="F1133" s="8" t="s">
        <v>16</v>
      </c>
      <c r="G1133" s="8" t="s">
        <v>837</v>
      </c>
      <c r="H1133" s="8"/>
      <c r="I1133" s="8"/>
      <c r="J1133" s="8" t="s">
        <v>19</v>
      </c>
      <c r="K1133" s="8"/>
    </row>
    <row r="1134" customFormat="false" ht="12.8" hidden="false" customHeight="false" outlineLevel="0" collapsed="false">
      <c r="A1134" s="8" t="str">
        <f aca="false">HYPERLINK("https://www.fabsurplus.com/sdi_catalog/salesItemDetails.do?id=100148")</f>
        <v>https://www.fabsurplus.com/sdi_catalog/salesItemDetails.do?id=100148</v>
      </c>
      <c r="B1134" s="8" t="s">
        <v>2719</v>
      </c>
      <c r="C1134" s="8" t="s">
        <v>208</v>
      </c>
      <c r="D1134" s="8" t="s">
        <v>2714</v>
      </c>
      <c r="E1134" s="8" t="s">
        <v>836</v>
      </c>
      <c r="F1134" s="8" t="s">
        <v>16</v>
      </c>
      <c r="G1134" s="8" t="s">
        <v>837</v>
      </c>
      <c r="H1134" s="8"/>
      <c r="I1134" s="8"/>
      <c r="J1134" s="8" t="s">
        <v>19</v>
      </c>
      <c r="K1134" s="8"/>
    </row>
    <row r="1135" customFormat="false" ht="12.8" hidden="false" customHeight="false" outlineLevel="0" collapsed="false">
      <c r="A1135" s="6" t="str">
        <f aca="false">HYPERLINK("https://www.fabsurplus.com/sdi_catalog/salesItemDetails.do?id=97845")</f>
        <v>https://www.fabsurplus.com/sdi_catalog/salesItemDetails.do?id=97845</v>
      </c>
      <c r="B1135" s="6" t="s">
        <v>2720</v>
      </c>
      <c r="C1135" s="6" t="s">
        <v>208</v>
      </c>
      <c r="D1135" s="6" t="s">
        <v>2721</v>
      </c>
      <c r="E1135" s="6" t="s">
        <v>2722</v>
      </c>
      <c r="F1135" s="6" t="s">
        <v>16</v>
      </c>
      <c r="G1135" s="6" t="s">
        <v>183</v>
      </c>
      <c r="H1135" s="6" t="s">
        <v>453</v>
      </c>
      <c r="I1135" s="6"/>
      <c r="J1135" s="6" t="s">
        <v>81</v>
      </c>
      <c r="K1135" s="6" t="s">
        <v>20</v>
      </c>
    </row>
    <row r="1136" customFormat="false" ht="12.8" hidden="false" customHeight="false" outlineLevel="0" collapsed="false">
      <c r="A1136" s="6" t="str">
        <f aca="false">HYPERLINK("https://www.fabsurplus.com/sdi_catalog/salesItemDetails.do?id=98058")</f>
        <v>https://www.fabsurplus.com/sdi_catalog/salesItemDetails.do?id=98058</v>
      </c>
      <c r="B1136" s="6" t="s">
        <v>2723</v>
      </c>
      <c r="C1136" s="6" t="s">
        <v>2651</v>
      </c>
      <c r="D1136" s="6" t="s">
        <v>2724</v>
      </c>
      <c r="E1136" s="6" t="s">
        <v>2725</v>
      </c>
      <c r="F1136" s="6" t="s">
        <v>16</v>
      </c>
      <c r="G1136" s="6" t="s">
        <v>837</v>
      </c>
      <c r="H1136" s="6" t="s">
        <v>18</v>
      </c>
      <c r="I1136" s="7" t="n">
        <v>36495</v>
      </c>
      <c r="J1136" s="6" t="s">
        <v>19</v>
      </c>
      <c r="K1136" s="6" t="s">
        <v>20</v>
      </c>
    </row>
    <row r="1137" customFormat="false" ht="12.8" hidden="false" customHeight="false" outlineLevel="0" collapsed="false">
      <c r="A1137" s="8" t="str">
        <f aca="false">HYPERLINK("https://www.fabsurplus.com/sdi_catalog/salesItemDetails.do?id=97082")</f>
        <v>https://www.fabsurplus.com/sdi_catalog/salesItemDetails.do?id=97082</v>
      </c>
      <c r="B1137" s="8" t="s">
        <v>2726</v>
      </c>
      <c r="C1137" s="8" t="s">
        <v>2651</v>
      </c>
      <c r="D1137" s="8" t="s">
        <v>2724</v>
      </c>
      <c r="E1137" s="8" t="s">
        <v>2727</v>
      </c>
      <c r="F1137" s="8" t="s">
        <v>16</v>
      </c>
      <c r="G1137" s="8" t="s">
        <v>837</v>
      </c>
      <c r="H1137" s="8" t="s">
        <v>18</v>
      </c>
      <c r="I1137" s="9" t="n">
        <v>39873</v>
      </c>
      <c r="J1137" s="8" t="s">
        <v>81</v>
      </c>
      <c r="K1137" s="8" t="s">
        <v>20</v>
      </c>
    </row>
    <row r="1138" customFormat="false" ht="12.8" hidden="false" customHeight="false" outlineLevel="0" collapsed="false">
      <c r="A1138" s="8" t="str">
        <f aca="false">HYPERLINK("https://www.fabsurplus.com/sdi_catalog/salesItemDetails.do?id=97081")</f>
        <v>https://www.fabsurplus.com/sdi_catalog/salesItemDetails.do?id=97081</v>
      </c>
      <c r="B1138" s="8" t="s">
        <v>2728</v>
      </c>
      <c r="C1138" s="8" t="s">
        <v>2651</v>
      </c>
      <c r="D1138" s="8" t="s">
        <v>2729</v>
      </c>
      <c r="E1138" s="8" t="s">
        <v>2727</v>
      </c>
      <c r="F1138" s="8" t="s">
        <v>611</v>
      </c>
      <c r="G1138" s="8" t="s">
        <v>837</v>
      </c>
      <c r="H1138" s="8" t="s">
        <v>18</v>
      </c>
      <c r="I1138" s="9" t="n">
        <v>39904</v>
      </c>
      <c r="J1138" s="8" t="s">
        <v>81</v>
      </c>
      <c r="K1138" s="8" t="s">
        <v>20</v>
      </c>
    </row>
    <row r="1139" customFormat="false" ht="12.8" hidden="false" customHeight="false" outlineLevel="0" collapsed="false">
      <c r="A1139" s="8" t="str">
        <f aca="false">HYPERLINK("https://www.fabsurplus.com/sdi_catalog/salesItemDetails.do?id=98909")</f>
        <v>https://www.fabsurplus.com/sdi_catalog/salesItemDetails.do?id=98909</v>
      </c>
      <c r="B1139" s="8" t="s">
        <v>2730</v>
      </c>
      <c r="C1139" s="8" t="s">
        <v>2731</v>
      </c>
      <c r="D1139" s="8" t="s">
        <v>2732</v>
      </c>
      <c r="E1139" s="8" t="s">
        <v>2733</v>
      </c>
      <c r="F1139" s="8" t="s">
        <v>16</v>
      </c>
      <c r="G1139" s="8"/>
      <c r="H1139" s="8"/>
      <c r="I1139" s="8"/>
      <c r="J1139" s="8" t="s">
        <v>19</v>
      </c>
      <c r="K1139" s="8"/>
    </row>
    <row r="1140" customFormat="false" ht="12.8" hidden="false" customHeight="false" outlineLevel="0" collapsed="false">
      <c r="A1140" s="6" t="str">
        <f aca="false">HYPERLINK("https://www.fabsurplus.com/sdi_catalog/salesItemDetails.do?id=99310")</f>
        <v>https://www.fabsurplus.com/sdi_catalog/salesItemDetails.do?id=99310</v>
      </c>
      <c r="B1140" s="6" t="s">
        <v>2734</v>
      </c>
      <c r="C1140" s="6" t="s">
        <v>2735</v>
      </c>
      <c r="D1140" s="6" t="s">
        <v>2736</v>
      </c>
      <c r="E1140" s="6" t="s">
        <v>2737</v>
      </c>
      <c r="F1140" s="6" t="s">
        <v>16</v>
      </c>
      <c r="G1140" s="6" t="s">
        <v>434</v>
      </c>
      <c r="H1140" s="6" t="s">
        <v>33</v>
      </c>
      <c r="I1140" s="7" t="n">
        <v>37043</v>
      </c>
      <c r="J1140" s="6" t="s">
        <v>19</v>
      </c>
      <c r="K1140" s="6" t="s">
        <v>20</v>
      </c>
    </row>
    <row r="1141" customFormat="false" ht="12.8" hidden="false" customHeight="false" outlineLevel="0" collapsed="false">
      <c r="A1141" s="8" t="str">
        <f aca="false">HYPERLINK("https://www.fabsurplus.com/sdi_catalog/salesItemDetails.do?id=99309")</f>
        <v>https://www.fabsurplus.com/sdi_catalog/salesItemDetails.do?id=99309</v>
      </c>
      <c r="B1141" s="8" t="s">
        <v>2738</v>
      </c>
      <c r="C1141" s="8" t="s">
        <v>2735</v>
      </c>
      <c r="D1141" s="8" t="s">
        <v>2739</v>
      </c>
      <c r="E1141" s="8" t="s">
        <v>2740</v>
      </c>
      <c r="F1141" s="8" t="s">
        <v>16</v>
      </c>
      <c r="G1141" s="8" t="s">
        <v>434</v>
      </c>
      <c r="H1141" s="8" t="s">
        <v>18</v>
      </c>
      <c r="I1141" s="9" t="n">
        <v>36678</v>
      </c>
      <c r="J1141" s="8" t="s">
        <v>19</v>
      </c>
      <c r="K1141" s="8" t="s">
        <v>20</v>
      </c>
    </row>
    <row r="1142" customFormat="false" ht="12.8" hidden="false" customHeight="false" outlineLevel="0" collapsed="false">
      <c r="A1142" s="6" t="str">
        <f aca="false">HYPERLINK("https://www.fabsurplus.com/sdi_catalog/salesItemDetails.do?id=98235")</f>
        <v>https://www.fabsurplus.com/sdi_catalog/salesItemDetails.do?id=98235</v>
      </c>
      <c r="B1142" s="6" t="s">
        <v>2741</v>
      </c>
      <c r="C1142" s="6" t="s">
        <v>234</v>
      </c>
      <c r="D1142" s="6" t="s">
        <v>2742</v>
      </c>
      <c r="E1142" s="6" t="s">
        <v>676</v>
      </c>
      <c r="F1142" s="6" t="s">
        <v>2743</v>
      </c>
      <c r="G1142" s="6" t="s">
        <v>32</v>
      </c>
      <c r="H1142" s="6" t="s">
        <v>18</v>
      </c>
      <c r="I1142" s="6"/>
      <c r="J1142" s="6" t="s">
        <v>81</v>
      </c>
      <c r="K1142" s="6" t="s">
        <v>20</v>
      </c>
    </row>
    <row r="1143" customFormat="false" ht="12.8" hidden="false" customHeight="false" outlineLevel="0" collapsed="false">
      <c r="A1143" s="6" t="str">
        <f aca="false">HYPERLINK("https://www.fabsurplus.com/sdi_catalog/salesItemDetails.do?id=99851")</f>
        <v>https://www.fabsurplus.com/sdi_catalog/salesItemDetails.do?id=99851</v>
      </c>
      <c r="B1143" s="6" t="s">
        <v>2744</v>
      </c>
      <c r="C1143" s="6" t="s">
        <v>234</v>
      </c>
      <c r="D1143" s="6" t="s">
        <v>2745</v>
      </c>
      <c r="E1143" s="6" t="s">
        <v>676</v>
      </c>
      <c r="F1143" s="6" t="s">
        <v>211</v>
      </c>
      <c r="G1143" s="6" t="s">
        <v>372</v>
      </c>
      <c r="H1143" s="6"/>
      <c r="I1143" s="6"/>
      <c r="J1143" s="6" t="s">
        <v>81</v>
      </c>
      <c r="K1143" s="6"/>
    </row>
    <row r="1144" customFormat="false" ht="12.8" hidden="false" customHeight="false" outlineLevel="0" collapsed="false">
      <c r="A1144" s="6" t="str">
        <f aca="false">HYPERLINK("https://www.fabsurplus.com/sdi_catalog/salesItemDetails.do?id=98390")</f>
        <v>https://www.fabsurplus.com/sdi_catalog/salesItemDetails.do?id=98390</v>
      </c>
      <c r="B1144" s="6" t="s">
        <v>2746</v>
      </c>
      <c r="C1144" s="6" t="s">
        <v>234</v>
      </c>
      <c r="D1144" s="6" t="s">
        <v>2745</v>
      </c>
      <c r="E1144" s="6" t="s">
        <v>676</v>
      </c>
      <c r="F1144" s="6" t="s">
        <v>611</v>
      </c>
      <c r="G1144" s="6"/>
      <c r="H1144" s="6"/>
      <c r="I1144" s="6"/>
      <c r="J1144" s="6" t="s">
        <v>19</v>
      </c>
      <c r="K1144" s="6"/>
    </row>
    <row r="1145" customFormat="false" ht="12.8" hidden="false" customHeight="false" outlineLevel="0" collapsed="false">
      <c r="A1145" s="8" t="str">
        <f aca="false">HYPERLINK("https://www.fabsurplus.com/sdi_catalog/salesItemDetails.do?id=98389")</f>
        <v>https://www.fabsurplus.com/sdi_catalog/salesItemDetails.do?id=98389</v>
      </c>
      <c r="B1145" s="8" t="s">
        <v>2747</v>
      </c>
      <c r="C1145" s="8" t="s">
        <v>234</v>
      </c>
      <c r="D1145" s="8" t="s">
        <v>2748</v>
      </c>
      <c r="E1145" s="8" t="s">
        <v>676</v>
      </c>
      <c r="F1145" s="8" t="s">
        <v>16</v>
      </c>
      <c r="G1145" s="8"/>
      <c r="H1145" s="8"/>
      <c r="I1145" s="8"/>
      <c r="J1145" s="8" t="s">
        <v>19</v>
      </c>
      <c r="K1145" s="8"/>
    </row>
    <row r="1146" customFormat="false" ht="12.8" hidden="false" customHeight="false" outlineLevel="0" collapsed="false">
      <c r="A1146" s="8" t="str">
        <f aca="false">HYPERLINK("https://www.fabsurplus.com/sdi_catalog/salesItemDetails.do?id=98236")</f>
        <v>https://www.fabsurplus.com/sdi_catalog/salesItemDetails.do?id=98236</v>
      </c>
      <c r="B1146" s="8" t="s">
        <v>2749</v>
      </c>
      <c r="C1146" s="8" t="s">
        <v>234</v>
      </c>
      <c r="D1146" s="8" t="s">
        <v>2750</v>
      </c>
      <c r="E1146" s="8" t="s">
        <v>676</v>
      </c>
      <c r="F1146" s="8" t="s">
        <v>745</v>
      </c>
      <c r="G1146" s="8" t="s">
        <v>32</v>
      </c>
      <c r="H1146" s="8" t="s">
        <v>18</v>
      </c>
      <c r="I1146" s="8"/>
      <c r="J1146" s="8" t="s">
        <v>81</v>
      </c>
      <c r="K1146" s="8" t="s">
        <v>20</v>
      </c>
    </row>
    <row r="1147" customFormat="false" ht="12.8" hidden="false" customHeight="false" outlineLevel="0" collapsed="false">
      <c r="A1147" s="6" t="str">
        <f aca="false">HYPERLINK("https://www.fabsurplus.com/sdi_catalog/salesItemDetails.do?id=98237")</f>
        <v>https://www.fabsurplus.com/sdi_catalog/salesItemDetails.do?id=98237</v>
      </c>
      <c r="B1147" s="6" t="s">
        <v>2751</v>
      </c>
      <c r="C1147" s="6" t="s">
        <v>234</v>
      </c>
      <c r="D1147" s="6" t="s">
        <v>2752</v>
      </c>
      <c r="E1147" s="6" t="s">
        <v>676</v>
      </c>
      <c r="F1147" s="6" t="s">
        <v>16</v>
      </c>
      <c r="G1147" s="6" t="s">
        <v>32</v>
      </c>
      <c r="H1147" s="6" t="s">
        <v>18</v>
      </c>
      <c r="I1147" s="6"/>
      <c r="J1147" s="6" t="s">
        <v>81</v>
      </c>
      <c r="K1147" s="6" t="s">
        <v>20</v>
      </c>
    </row>
    <row r="1148" customFormat="false" ht="12.8" hidden="false" customHeight="false" outlineLevel="0" collapsed="false">
      <c r="A1148" s="8" t="str">
        <f aca="false">HYPERLINK("https://www.fabsurplus.com/sdi_catalog/salesItemDetails.do?id=98238")</f>
        <v>https://www.fabsurplus.com/sdi_catalog/salesItemDetails.do?id=98238</v>
      </c>
      <c r="B1148" s="8" t="s">
        <v>2753</v>
      </c>
      <c r="C1148" s="8" t="s">
        <v>234</v>
      </c>
      <c r="D1148" s="8" t="s">
        <v>2754</v>
      </c>
      <c r="E1148" s="8" t="s">
        <v>676</v>
      </c>
      <c r="F1148" s="8" t="s">
        <v>211</v>
      </c>
      <c r="G1148" s="8" t="s">
        <v>32</v>
      </c>
      <c r="H1148" s="8" t="s">
        <v>18</v>
      </c>
      <c r="I1148" s="8"/>
      <c r="J1148" s="8" t="s">
        <v>81</v>
      </c>
      <c r="K1148" s="8" t="s">
        <v>20</v>
      </c>
    </row>
    <row r="1149" customFormat="false" ht="12.8" hidden="false" customHeight="false" outlineLevel="0" collapsed="false">
      <c r="A1149" s="6" t="str">
        <f aca="false">HYPERLINK("https://www.fabsurplus.com/sdi_catalog/salesItemDetails.do?id=98239")</f>
        <v>https://www.fabsurplus.com/sdi_catalog/salesItemDetails.do?id=98239</v>
      </c>
      <c r="B1149" s="6" t="s">
        <v>2755</v>
      </c>
      <c r="C1149" s="6" t="s">
        <v>234</v>
      </c>
      <c r="D1149" s="6" t="s">
        <v>2756</v>
      </c>
      <c r="E1149" s="6" t="s">
        <v>676</v>
      </c>
      <c r="F1149" s="6" t="s">
        <v>962</v>
      </c>
      <c r="G1149" s="6" t="s">
        <v>32</v>
      </c>
      <c r="H1149" s="6" t="s">
        <v>18</v>
      </c>
      <c r="I1149" s="6"/>
      <c r="J1149" s="6" t="s">
        <v>81</v>
      </c>
      <c r="K1149" s="6" t="s">
        <v>20</v>
      </c>
    </row>
    <row r="1150" customFormat="false" ht="12.8" hidden="false" customHeight="false" outlineLevel="0" collapsed="false">
      <c r="A1150" s="8" t="str">
        <f aca="false">HYPERLINK("https://www.fabsurplus.com/sdi_catalog/salesItemDetails.do?id=98240")</f>
        <v>https://www.fabsurplus.com/sdi_catalog/salesItemDetails.do?id=98240</v>
      </c>
      <c r="B1150" s="8" t="s">
        <v>2757</v>
      </c>
      <c r="C1150" s="8" t="s">
        <v>234</v>
      </c>
      <c r="D1150" s="8" t="s">
        <v>2758</v>
      </c>
      <c r="E1150" s="8" t="s">
        <v>676</v>
      </c>
      <c r="F1150" s="8" t="s">
        <v>742</v>
      </c>
      <c r="G1150" s="8" t="s">
        <v>32</v>
      </c>
      <c r="H1150" s="8" t="s">
        <v>18</v>
      </c>
      <c r="I1150" s="8"/>
      <c r="J1150" s="8" t="s">
        <v>81</v>
      </c>
      <c r="K1150" s="8" t="s">
        <v>20</v>
      </c>
    </row>
    <row r="1151" customFormat="false" ht="12.8" hidden="false" customHeight="false" outlineLevel="0" collapsed="false">
      <c r="A1151" s="8" t="str">
        <f aca="false">HYPERLINK("https://www.fabsurplus.com/sdi_catalog/salesItemDetails.do?id=98243")</f>
        <v>https://www.fabsurplus.com/sdi_catalog/salesItemDetails.do?id=98243</v>
      </c>
      <c r="B1151" s="8" t="s">
        <v>2759</v>
      </c>
      <c r="C1151" s="8" t="s">
        <v>234</v>
      </c>
      <c r="D1151" s="8" t="s">
        <v>2760</v>
      </c>
      <c r="E1151" s="8" t="s">
        <v>676</v>
      </c>
      <c r="F1151" s="8" t="s">
        <v>16</v>
      </c>
      <c r="G1151" s="8" t="s">
        <v>32</v>
      </c>
      <c r="H1151" s="8" t="s">
        <v>18</v>
      </c>
      <c r="I1151" s="8"/>
      <c r="J1151" s="8" t="s">
        <v>81</v>
      </c>
      <c r="K1151" s="8" t="s">
        <v>20</v>
      </c>
    </row>
    <row r="1152" customFormat="false" ht="12.8" hidden="false" customHeight="false" outlineLevel="0" collapsed="false">
      <c r="A1152" s="8" t="str">
        <f aca="false">HYPERLINK("https://www.fabsurplus.com/sdi_catalog/salesItemDetails.do?id=98242")</f>
        <v>https://www.fabsurplus.com/sdi_catalog/salesItemDetails.do?id=98242</v>
      </c>
      <c r="B1152" s="8" t="s">
        <v>2761</v>
      </c>
      <c r="C1152" s="8" t="s">
        <v>234</v>
      </c>
      <c r="D1152" s="8" t="s">
        <v>2762</v>
      </c>
      <c r="E1152" s="8" t="s">
        <v>676</v>
      </c>
      <c r="F1152" s="8" t="s">
        <v>16</v>
      </c>
      <c r="G1152" s="8" t="s">
        <v>32</v>
      </c>
      <c r="H1152" s="8" t="s">
        <v>18</v>
      </c>
      <c r="I1152" s="8"/>
      <c r="J1152" s="8" t="s">
        <v>81</v>
      </c>
      <c r="K1152" s="8" t="s">
        <v>20</v>
      </c>
    </row>
    <row r="1153" customFormat="false" ht="12.8" hidden="false" customHeight="false" outlineLevel="0" collapsed="false">
      <c r="A1153" s="6" t="str">
        <f aca="false">HYPERLINK("https://www.fabsurplus.com/sdi_catalog/salesItemDetails.do?id=98241")</f>
        <v>https://www.fabsurplus.com/sdi_catalog/salesItemDetails.do?id=98241</v>
      </c>
      <c r="B1153" s="6" t="s">
        <v>2763</v>
      </c>
      <c r="C1153" s="6" t="s">
        <v>234</v>
      </c>
      <c r="D1153" s="6" t="s">
        <v>2762</v>
      </c>
      <c r="E1153" s="6" t="s">
        <v>676</v>
      </c>
      <c r="F1153" s="6" t="s">
        <v>2743</v>
      </c>
      <c r="G1153" s="6" t="s">
        <v>32</v>
      </c>
      <c r="H1153" s="6" t="s">
        <v>18</v>
      </c>
      <c r="I1153" s="6"/>
      <c r="J1153" s="6" t="s">
        <v>81</v>
      </c>
      <c r="K1153" s="6" t="s">
        <v>20</v>
      </c>
    </row>
    <row r="1154" customFormat="false" ht="12.8" hidden="false" customHeight="false" outlineLevel="0" collapsed="false">
      <c r="A1154" s="8" t="str">
        <f aca="false">HYPERLINK("https://www.fabsurplus.com/sdi_catalog/salesItemDetails.do?id=98244")</f>
        <v>https://www.fabsurplus.com/sdi_catalog/salesItemDetails.do?id=98244</v>
      </c>
      <c r="B1154" s="8" t="s">
        <v>2764</v>
      </c>
      <c r="C1154" s="8" t="s">
        <v>234</v>
      </c>
      <c r="D1154" s="8" t="s">
        <v>2765</v>
      </c>
      <c r="E1154" s="8" t="s">
        <v>676</v>
      </c>
      <c r="F1154" s="8" t="s">
        <v>611</v>
      </c>
      <c r="G1154" s="8" t="s">
        <v>32</v>
      </c>
      <c r="H1154" s="8" t="s">
        <v>18</v>
      </c>
      <c r="I1154" s="8"/>
      <c r="J1154" s="8" t="s">
        <v>81</v>
      </c>
      <c r="K1154" s="8" t="s">
        <v>20</v>
      </c>
    </row>
    <row r="1155" customFormat="false" ht="12.8" hidden="false" customHeight="false" outlineLevel="0" collapsed="false">
      <c r="A1155" s="8" t="str">
        <f aca="false">HYPERLINK("https://www.fabsurplus.com/sdi_catalog/salesItemDetails.do?id=98391")</f>
        <v>https://www.fabsurplus.com/sdi_catalog/salesItemDetails.do?id=98391</v>
      </c>
      <c r="B1155" s="8" t="s">
        <v>2766</v>
      </c>
      <c r="C1155" s="8" t="s">
        <v>234</v>
      </c>
      <c r="D1155" s="8" t="s">
        <v>2767</v>
      </c>
      <c r="E1155" s="8" t="s">
        <v>676</v>
      </c>
      <c r="F1155" s="8" t="s">
        <v>16</v>
      </c>
      <c r="G1155" s="8" t="s">
        <v>372</v>
      </c>
      <c r="H1155" s="8"/>
      <c r="I1155" s="8"/>
      <c r="J1155" s="8" t="s">
        <v>19</v>
      </c>
      <c r="K1155" s="8"/>
    </row>
    <row r="1156" customFormat="false" ht="12.8" hidden="false" customHeight="false" outlineLevel="0" collapsed="false">
      <c r="A1156" s="6" t="str">
        <f aca="false">HYPERLINK("https://www.fabsurplus.com/sdi_catalog/salesItemDetails.do?id=98029")</f>
        <v>https://www.fabsurplus.com/sdi_catalog/salesItemDetails.do?id=98029</v>
      </c>
      <c r="B1156" s="6" t="s">
        <v>2768</v>
      </c>
      <c r="C1156" s="6" t="s">
        <v>2769</v>
      </c>
      <c r="D1156" s="6" t="s">
        <v>2770</v>
      </c>
      <c r="E1156" s="6" t="s">
        <v>676</v>
      </c>
      <c r="F1156" s="6" t="s">
        <v>16</v>
      </c>
      <c r="G1156" s="6" t="s">
        <v>310</v>
      </c>
      <c r="H1156" s="6"/>
      <c r="I1156" s="7" t="n">
        <v>38139</v>
      </c>
      <c r="J1156" s="6" t="s">
        <v>19</v>
      </c>
      <c r="K1156" s="6"/>
    </row>
    <row r="1157" customFormat="false" ht="12.8" hidden="false" customHeight="false" outlineLevel="0" collapsed="false">
      <c r="A1157" s="6" t="str">
        <f aca="false">HYPERLINK("https://www.fabsurplus.com/sdi_catalog/salesItemDetails.do?id=99984")</f>
        <v>https://www.fabsurplus.com/sdi_catalog/salesItemDetails.do?id=99984</v>
      </c>
      <c r="B1157" s="6" t="s">
        <v>2771</v>
      </c>
      <c r="C1157" s="6" t="s">
        <v>2769</v>
      </c>
      <c r="D1157" s="6" t="s">
        <v>2772</v>
      </c>
      <c r="E1157" s="6" t="s">
        <v>676</v>
      </c>
      <c r="F1157" s="6" t="s">
        <v>16</v>
      </c>
      <c r="G1157" s="6" t="s">
        <v>697</v>
      </c>
      <c r="H1157" s="6"/>
      <c r="I1157" s="6"/>
      <c r="J1157" s="6" t="s">
        <v>19</v>
      </c>
      <c r="K1157" s="6"/>
    </row>
    <row r="1158" customFormat="false" ht="12.8" hidden="false" customHeight="false" outlineLevel="0" collapsed="false">
      <c r="A1158" s="8" t="str">
        <f aca="false">HYPERLINK("https://www.fabsurplus.com/sdi_catalog/salesItemDetails.do?id=97890")</f>
        <v>https://www.fabsurplus.com/sdi_catalog/salesItemDetails.do?id=97890</v>
      </c>
      <c r="B1158" s="8" t="s">
        <v>2773</v>
      </c>
      <c r="C1158" s="8" t="s">
        <v>2774</v>
      </c>
      <c r="D1158" s="8" t="s">
        <v>2775</v>
      </c>
      <c r="E1158" s="8" t="s">
        <v>2776</v>
      </c>
      <c r="F1158" s="8" t="s">
        <v>16</v>
      </c>
      <c r="G1158" s="8" t="s">
        <v>328</v>
      </c>
      <c r="H1158" s="8"/>
      <c r="I1158" s="8"/>
      <c r="J1158" s="8" t="s">
        <v>81</v>
      </c>
      <c r="K1158" s="8"/>
    </row>
    <row r="1159" customFormat="false" ht="12.8" hidden="false" customHeight="false" outlineLevel="0" collapsed="false">
      <c r="A1159" s="8" t="str">
        <f aca="false">HYPERLINK("https://www.fabsurplus.com/sdi_catalog/salesItemDetails.do?id=100033")</f>
        <v>https://www.fabsurplus.com/sdi_catalog/salesItemDetails.do?id=100033</v>
      </c>
      <c r="B1159" s="8" t="s">
        <v>2777</v>
      </c>
      <c r="C1159" s="8" t="s">
        <v>2774</v>
      </c>
      <c r="D1159" s="8" t="s">
        <v>2778</v>
      </c>
      <c r="E1159" s="8" t="s">
        <v>2776</v>
      </c>
      <c r="F1159" s="8" t="s">
        <v>16</v>
      </c>
      <c r="G1159" s="8"/>
      <c r="H1159" s="8"/>
      <c r="I1159" s="8"/>
      <c r="J1159" s="8" t="s">
        <v>19</v>
      </c>
      <c r="K1159" s="8"/>
    </row>
    <row r="1160" customFormat="false" ht="12.8" hidden="false" customHeight="false" outlineLevel="0" collapsed="false">
      <c r="A1160" s="6" t="str">
        <f aca="false">HYPERLINK("https://www.fabsurplus.com/sdi_catalog/salesItemDetails.do?id=100640")</f>
        <v>https://www.fabsurplus.com/sdi_catalog/salesItemDetails.do?id=100640</v>
      </c>
      <c r="B1160" s="6" t="s">
        <v>2779</v>
      </c>
      <c r="C1160" s="6" t="s">
        <v>2780</v>
      </c>
      <c r="D1160" s="6" t="s">
        <v>2781</v>
      </c>
      <c r="E1160" s="6" t="s">
        <v>2782</v>
      </c>
      <c r="F1160" s="6" t="s">
        <v>16</v>
      </c>
      <c r="G1160" s="6" t="s">
        <v>328</v>
      </c>
      <c r="H1160" s="6"/>
      <c r="I1160" s="6"/>
      <c r="J1160" s="6" t="s">
        <v>19</v>
      </c>
      <c r="K1160" s="6"/>
    </row>
    <row r="1161" customFormat="false" ht="12.8" hidden="false" customHeight="false" outlineLevel="0" collapsed="false">
      <c r="A1161" s="6" t="str">
        <f aca="false">HYPERLINK("https://www.fabsurplus.com/sdi_catalog/salesItemDetails.do?id=98462")</f>
        <v>https://www.fabsurplus.com/sdi_catalog/salesItemDetails.do?id=98462</v>
      </c>
      <c r="B1161" s="6" t="s">
        <v>2783</v>
      </c>
      <c r="C1161" s="6" t="s">
        <v>2784</v>
      </c>
      <c r="D1161" s="6" t="s">
        <v>2785</v>
      </c>
      <c r="E1161" s="6" t="s">
        <v>2786</v>
      </c>
      <c r="F1161" s="6" t="s">
        <v>16</v>
      </c>
      <c r="G1161" s="6" t="s">
        <v>686</v>
      </c>
      <c r="H1161" s="6"/>
      <c r="I1161" s="6"/>
      <c r="J1161" s="6" t="s">
        <v>19</v>
      </c>
      <c r="K1161" s="6"/>
    </row>
    <row r="1162" customFormat="false" ht="12.8" hidden="false" customHeight="false" outlineLevel="0" collapsed="false">
      <c r="A1162" s="8" t="str">
        <f aca="false">HYPERLINK("https://www.fabsurplus.com/sdi_catalog/salesItemDetails.do?id=100855")</f>
        <v>https://www.fabsurplus.com/sdi_catalog/salesItemDetails.do?id=100855</v>
      </c>
      <c r="B1162" s="8" t="s">
        <v>2787</v>
      </c>
      <c r="C1162" s="8" t="s">
        <v>2788</v>
      </c>
      <c r="D1162" s="8" t="s">
        <v>2789</v>
      </c>
      <c r="E1162" s="8" t="s">
        <v>2782</v>
      </c>
      <c r="F1162" s="8" t="s">
        <v>16</v>
      </c>
      <c r="G1162" s="8" t="s">
        <v>328</v>
      </c>
      <c r="H1162" s="8"/>
      <c r="I1162" s="9" t="n">
        <v>42887</v>
      </c>
      <c r="J1162" s="8" t="s">
        <v>19</v>
      </c>
      <c r="K1162" s="8"/>
    </row>
    <row r="1163" customFormat="false" ht="12.8" hidden="false" customHeight="false" outlineLevel="0" collapsed="false">
      <c r="A1163" s="6" t="str">
        <f aca="false">HYPERLINK("https://www.fabsurplus.com/sdi_catalog/salesItemDetails.do?id=100854")</f>
        <v>https://www.fabsurplus.com/sdi_catalog/salesItemDetails.do?id=100854</v>
      </c>
      <c r="B1163" s="6" t="s">
        <v>2790</v>
      </c>
      <c r="C1163" s="6" t="s">
        <v>2788</v>
      </c>
      <c r="D1163" s="6" t="s">
        <v>2789</v>
      </c>
      <c r="E1163" s="6" t="s">
        <v>2782</v>
      </c>
      <c r="F1163" s="6" t="s">
        <v>16</v>
      </c>
      <c r="G1163" s="6" t="s">
        <v>328</v>
      </c>
      <c r="H1163" s="6"/>
      <c r="I1163" s="7" t="n">
        <v>41791</v>
      </c>
      <c r="J1163" s="6" t="s">
        <v>19</v>
      </c>
      <c r="K1163" s="6"/>
    </row>
    <row r="1164" customFormat="false" ht="12.8" hidden="false" customHeight="false" outlineLevel="0" collapsed="false">
      <c r="A1164" s="6" t="str">
        <f aca="false">HYPERLINK("https://www.fabsurplus.com/sdi_catalog/salesItemDetails.do?id=97920")</f>
        <v>https://www.fabsurplus.com/sdi_catalog/salesItemDetails.do?id=97920</v>
      </c>
      <c r="B1164" s="6" t="s">
        <v>2791</v>
      </c>
      <c r="C1164" s="6" t="s">
        <v>2788</v>
      </c>
      <c r="D1164" s="6" t="s">
        <v>2792</v>
      </c>
      <c r="E1164" s="6" t="s">
        <v>2776</v>
      </c>
      <c r="F1164" s="6" t="s">
        <v>16</v>
      </c>
      <c r="G1164" s="6" t="s">
        <v>1851</v>
      </c>
      <c r="H1164" s="6"/>
      <c r="I1164" s="6"/>
      <c r="J1164" s="6" t="s">
        <v>81</v>
      </c>
      <c r="K1164" s="6"/>
    </row>
    <row r="1165" customFormat="false" ht="12.8" hidden="false" customHeight="false" outlineLevel="0" collapsed="false">
      <c r="A1165" s="8" t="str">
        <f aca="false">HYPERLINK("https://www.fabsurplus.com/sdi_catalog/salesItemDetails.do?id=97921")</f>
        <v>https://www.fabsurplus.com/sdi_catalog/salesItemDetails.do?id=97921</v>
      </c>
      <c r="B1165" s="8" t="s">
        <v>2793</v>
      </c>
      <c r="C1165" s="8" t="s">
        <v>2788</v>
      </c>
      <c r="D1165" s="8" t="s">
        <v>2794</v>
      </c>
      <c r="E1165" s="8" t="s">
        <v>2795</v>
      </c>
      <c r="F1165" s="8" t="s">
        <v>211</v>
      </c>
      <c r="G1165" s="8" t="s">
        <v>1851</v>
      </c>
      <c r="H1165" s="8" t="s">
        <v>18</v>
      </c>
      <c r="I1165" s="9" t="n">
        <v>38047</v>
      </c>
      <c r="J1165" s="8" t="s">
        <v>19</v>
      </c>
      <c r="K1165" s="8" t="s">
        <v>20</v>
      </c>
    </row>
    <row r="1166" customFormat="false" ht="12.8" hidden="false" customHeight="false" outlineLevel="0" collapsed="false">
      <c r="A1166" s="8" t="str">
        <f aca="false">HYPERLINK("https://www.fabsurplus.com/sdi_catalog/salesItemDetails.do?id=100154")</f>
        <v>https://www.fabsurplus.com/sdi_catalog/salesItemDetails.do?id=100154</v>
      </c>
      <c r="B1166" s="8" t="s">
        <v>2796</v>
      </c>
      <c r="C1166" s="8" t="s">
        <v>2788</v>
      </c>
      <c r="D1166" s="8" t="s">
        <v>2797</v>
      </c>
      <c r="E1166" s="8" t="s">
        <v>2798</v>
      </c>
      <c r="F1166" s="8" t="s">
        <v>16</v>
      </c>
      <c r="G1166" s="8" t="s">
        <v>697</v>
      </c>
      <c r="H1166" s="8"/>
      <c r="I1166" s="9" t="n">
        <v>40330</v>
      </c>
      <c r="J1166" s="8" t="s">
        <v>19</v>
      </c>
      <c r="K1166" s="8"/>
    </row>
    <row r="1167" customFormat="false" ht="12.8" hidden="false" customHeight="false" outlineLevel="0" collapsed="false">
      <c r="A1167" s="6" t="str">
        <f aca="false">HYPERLINK("https://www.fabsurplus.com/sdi_catalog/salesItemDetails.do?id=99902")</f>
        <v>https://www.fabsurplus.com/sdi_catalog/salesItemDetails.do?id=99902</v>
      </c>
      <c r="B1167" s="6" t="s">
        <v>2799</v>
      </c>
      <c r="C1167" s="6" t="s">
        <v>2800</v>
      </c>
      <c r="D1167" s="6" t="s">
        <v>2801</v>
      </c>
      <c r="E1167" s="6" t="s">
        <v>2802</v>
      </c>
      <c r="F1167" s="6" t="s">
        <v>16</v>
      </c>
      <c r="G1167" s="6"/>
      <c r="H1167" s="6" t="s">
        <v>33</v>
      </c>
      <c r="I1167" s="7" t="n">
        <v>42522</v>
      </c>
      <c r="J1167" s="6" t="s">
        <v>19</v>
      </c>
      <c r="K1167" s="6" t="s">
        <v>20</v>
      </c>
    </row>
    <row r="1168" customFormat="false" ht="12.8" hidden="false" customHeight="false" outlineLevel="0" collapsed="false">
      <c r="A1168" s="6" t="str">
        <f aca="false">HYPERLINK("https://www.fabsurplus.com/sdi_catalog/salesItemDetails.do?id=100641")</f>
        <v>https://www.fabsurplus.com/sdi_catalog/salesItemDetails.do?id=100641</v>
      </c>
      <c r="B1168" s="6" t="s">
        <v>2803</v>
      </c>
      <c r="C1168" s="6" t="s">
        <v>2804</v>
      </c>
      <c r="D1168" s="6" t="s">
        <v>2805</v>
      </c>
      <c r="E1168" s="6" t="s">
        <v>1842</v>
      </c>
      <c r="F1168" s="6" t="s">
        <v>626</v>
      </c>
      <c r="G1168" s="6" t="s">
        <v>328</v>
      </c>
      <c r="H1168" s="6"/>
      <c r="I1168" s="6"/>
      <c r="J1168" s="6" t="s">
        <v>19</v>
      </c>
      <c r="K1168" s="6"/>
    </row>
    <row r="1169" customFormat="false" ht="12.8" hidden="false" customHeight="false" outlineLevel="0" collapsed="false">
      <c r="A1169" s="8" t="str">
        <f aca="false">HYPERLINK("https://www.fabsurplus.com/sdi_catalog/salesItemDetails.do?id=100704")</f>
        <v>https://www.fabsurplus.com/sdi_catalog/salesItemDetails.do?id=100704</v>
      </c>
      <c r="B1169" s="8" t="s">
        <v>2806</v>
      </c>
      <c r="C1169" s="8" t="s">
        <v>2807</v>
      </c>
      <c r="D1169" s="8" t="s">
        <v>2808</v>
      </c>
      <c r="E1169" s="8" t="s">
        <v>2809</v>
      </c>
      <c r="F1169" s="8" t="s">
        <v>16</v>
      </c>
      <c r="G1169" s="8"/>
      <c r="H1169" s="8"/>
      <c r="I1169" s="8"/>
      <c r="J1169" s="8" t="s">
        <v>19</v>
      </c>
      <c r="K1169" s="8"/>
    </row>
    <row r="1170" customFormat="false" ht="12.8" hidden="false" customHeight="false" outlineLevel="0" collapsed="false">
      <c r="A1170" s="6" t="str">
        <f aca="false">HYPERLINK("https://www.fabsurplus.com/sdi_catalog/salesItemDetails.do?id=100705")</f>
        <v>https://www.fabsurplus.com/sdi_catalog/salesItemDetails.do?id=100705</v>
      </c>
      <c r="B1170" s="6" t="s">
        <v>2810</v>
      </c>
      <c r="C1170" s="6" t="s">
        <v>2807</v>
      </c>
      <c r="D1170" s="6" t="s">
        <v>2811</v>
      </c>
      <c r="E1170" s="6" t="s">
        <v>2809</v>
      </c>
      <c r="F1170" s="6" t="s">
        <v>16</v>
      </c>
      <c r="G1170" s="6"/>
      <c r="H1170" s="6"/>
      <c r="I1170" s="6"/>
      <c r="J1170" s="6" t="s">
        <v>19</v>
      </c>
      <c r="K1170" s="6"/>
    </row>
    <row r="1171" customFormat="false" ht="12.8" hidden="false" customHeight="false" outlineLevel="0" collapsed="false">
      <c r="A1171" s="8" t="str">
        <f aca="false">HYPERLINK("https://www.fabsurplus.com/sdi_catalog/salesItemDetails.do?id=100642")</f>
        <v>https://www.fabsurplus.com/sdi_catalog/salesItemDetails.do?id=100642</v>
      </c>
      <c r="B1171" s="8" t="s">
        <v>2812</v>
      </c>
      <c r="C1171" s="8" t="s">
        <v>2804</v>
      </c>
      <c r="D1171" s="8" t="s">
        <v>2813</v>
      </c>
      <c r="E1171" s="8" t="s">
        <v>2814</v>
      </c>
      <c r="F1171" s="8" t="s">
        <v>611</v>
      </c>
      <c r="G1171" s="8" t="s">
        <v>328</v>
      </c>
      <c r="H1171" s="8"/>
      <c r="I1171" s="8"/>
      <c r="J1171" s="8" t="s">
        <v>19</v>
      </c>
      <c r="K1171" s="8"/>
    </row>
    <row r="1172" customFormat="false" ht="12.8" hidden="false" customHeight="false" outlineLevel="0" collapsed="false">
      <c r="A1172" s="8" t="str">
        <f aca="false">HYPERLINK("https://www.fabsurplus.com/sdi_catalog/salesItemDetails.do?id=99315")</f>
        <v>https://www.fabsurplus.com/sdi_catalog/salesItemDetails.do?id=99315</v>
      </c>
      <c r="B1172" s="8" t="s">
        <v>2815</v>
      </c>
      <c r="C1172" s="8" t="s">
        <v>2807</v>
      </c>
      <c r="D1172" s="8" t="s">
        <v>2816</v>
      </c>
      <c r="E1172" s="8" t="s">
        <v>2430</v>
      </c>
      <c r="F1172" s="8" t="s">
        <v>611</v>
      </c>
      <c r="G1172" s="8"/>
      <c r="H1172" s="8"/>
      <c r="I1172" s="9" t="n">
        <v>39234</v>
      </c>
      <c r="J1172" s="8" t="s">
        <v>19</v>
      </c>
      <c r="K1172" s="8"/>
    </row>
    <row r="1173" customFormat="false" ht="12.8" hidden="false" customHeight="false" outlineLevel="0" collapsed="false">
      <c r="A1173" s="6" t="str">
        <f aca="false">HYPERLINK("https://www.fabsurplus.com/sdi_catalog/salesItemDetails.do?id=99314")</f>
        <v>https://www.fabsurplus.com/sdi_catalog/salesItemDetails.do?id=99314</v>
      </c>
      <c r="B1173" s="6" t="s">
        <v>2817</v>
      </c>
      <c r="C1173" s="6" t="s">
        <v>2807</v>
      </c>
      <c r="D1173" s="6" t="s">
        <v>2818</v>
      </c>
      <c r="E1173" s="6" t="s">
        <v>2430</v>
      </c>
      <c r="F1173" s="6" t="s">
        <v>16</v>
      </c>
      <c r="G1173" s="6"/>
      <c r="H1173" s="6"/>
      <c r="I1173" s="7" t="n">
        <v>35582</v>
      </c>
      <c r="J1173" s="6" t="s">
        <v>19</v>
      </c>
      <c r="K1173" s="6"/>
    </row>
    <row r="1174" customFormat="false" ht="12.8" hidden="false" customHeight="false" outlineLevel="0" collapsed="false">
      <c r="A1174" s="8" t="str">
        <f aca="false">HYPERLINK("https://www.fabsurplus.com/sdi_catalog/salesItemDetails.do?id=99313")</f>
        <v>https://www.fabsurplus.com/sdi_catalog/salesItemDetails.do?id=99313</v>
      </c>
      <c r="B1174" s="8" t="s">
        <v>2819</v>
      </c>
      <c r="C1174" s="8" t="s">
        <v>2807</v>
      </c>
      <c r="D1174" s="8" t="s">
        <v>2818</v>
      </c>
      <c r="E1174" s="8" t="s">
        <v>2430</v>
      </c>
      <c r="F1174" s="8" t="s">
        <v>16</v>
      </c>
      <c r="G1174" s="8"/>
      <c r="H1174" s="8"/>
      <c r="I1174" s="9" t="n">
        <v>35582</v>
      </c>
      <c r="J1174" s="8" t="s">
        <v>19</v>
      </c>
      <c r="K1174" s="8"/>
    </row>
    <row r="1175" customFormat="false" ht="12.8" hidden="false" customHeight="false" outlineLevel="0" collapsed="false">
      <c r="A1175" s="6" t="str">
        <f aca="false">HYPERLINK("https://www.fabsurplus.com/sdi_catalog/salesItemDetails.do?id=99312")</f>
        <v>https://www.fabsurplus.com/sdi_catalog/salesItemDetails.do?id=99312</v>
      </c>
      <c r="B1175" s="6" t="s">
        <v>2820</v>
      </c>
      <c r="C1175" s="6" t="s">
        <v>2807</v>
      </c>
      <c r="D1175" s="6" t="s">
        <v>2818</v>
      </c>
      <c r="E1175" s="6" t="s">
        <v>2430</v>
      </c>
      <c r="F1175" s="6" t="s">
        <v>16</v>
      </c>
      <c r="G1175" s="6"/>
      <c r="H1175" s="6"/>
      <c r="I1175" s="7" t="n">
        <v>34851</v>
      </c>
      <c r="J1175" s="6" t="s">
        <v>19</v>
      </c>
      <c r="K1175" s="6"/>
    </row>
    <row r="1176" customFormat="false" ht="12.8" hidden="false" customHeight="false" outlineLevel="0" collapsed="false">
      <c r="A1176" s="6" t="str">
        <f aca="false">HYPERLINK("https://www.fabsurplus.com/sdi_catalog/salesItemDetails.do?id=100856")</f>
        <v>https://www.fabsurplus.com/sdi_catalog/salesItemDetails.do?id=100856</v>
      </c>
      <c r="B1176" s="6" t="s">
        <v>2821</v>
      </c>
      <c r="C1176" s="6" t="s">
        <v>2822</v>
      </c>
      <c r="D1176" s="6" t="s">
        <v>2811</v>
      </c>
      <c r="E1176" s="6" t="s">
        <v>2430</v>
      </c>
      <c r="F1176" s="6" t="s">
        <v>745</v>
      </c>
      <c r="G1176" s="6" t="s">
        <v>328</v>
      </c>
      <c r="H1176" s="6"/>
      <c r="I1176" s="7" t="n">
        <v>37043</v>
      </c>
      <c r="J1176" s="6" t="s">
        <v>19</v>
      </c>
      <c r="K1176" s="6"/>
    </row>
    <row r="1177" customFormat="false" ht="12.8" hidden="false" customHeight="false" outlineLevel="0" collapsed="false">
      <c r="A1177" s="6" t="str">
        <f aca="false">HYPERLINK("https://www.fabsurplus.com/sdi_catalog/salesItemDetails.do?id=100643")</f>
        <v>https://www.fabsurplus.com/sdi_catalog/salesItemDetails.do?id=100643</v>
      </c>
      <c r="B1177" s="6" t="s">
        <v>2823</v>
      </c>
      <c r="C1177" s="6" t="s">
        <v>2824</v>
      </c>
      <c r="D1177" s="6" t="s">
        <v>2805</v>
      </c>
      <c r="E1177" s="6" t="s">
        <v>1842</v>
      </c>
      <c r="F1177" s="6" t="s">
        <v>611</v>
      </c>
      <c r="G1177" s="6" t="s">
        <v>310</v>
      </c>
      <c r="H1177" s="6"/>
      <c r="I1177" s="6"/>
      <c r="J1177" s="6" t="s">
        <v>19</v>
      </c>
      <c r="K1177" s="6"/>
    </row>
    <row r="1178" customFormat="false" ht="12.8" hidden="false" customHeight="false" outlineLevel="0" collapsed="false">
      <c r="A1178" s="8" t="str">
        <f aca="false">HYPERLINK("https://www.fabsurplus.com/sdi_catalog/salesItemDetails.do?id=97181")</f>
        <v>https://www.fabsurplus.com/sdi_catalog/salesItemDetails.do?id=97181</v>
      </c>
      <c r="B1178" s="8" t="s">
        <v>2825</v>
      </c>
      <c r="C1178" s="8" t="s">
        <v>260</v>
      </c>
      <c r="D1178" s="8" t="s">
        <v>2826</v>
      </c>
      <c r="E1178" s="8" t="s">
        <v>2827</v>
      </c>
      <c r="F1178" s="8" t="s">
        <v>16</v>
      </c>
      <c r="G1178" s="8"/>
      <c r="H1178" s="8" t="s">
        <v>18</v>
      </c>
      <c r="I1178" s="8"/>
      <c r="J1178" s="8" t="s">
        <v>19</v>
      </c>
      <c r="K1178" s="8" t="s">
        <v>20</v>
      </c>
    </row>
    <row r="1179" customFormat="false" ht="12.8" hidden="false" customHeight="false" outlineLevel="0" collapsed="false">
      <c r="A1179" s="6" t="str">
        <f aca="false">HYPERLINK("https://www.fabsurplus.com/sdi_catalog/salesItemDetails.do?id=100675")</f>
        <v>https://www.fabsurplus.com/sdi_catalog/salesItemDetails.do?id=100675</v>
      </c>
      <c r="B1179" s="6" t="s">
        <v>2828</v>
      </c>
      <c r="C1179" s="6" t="s">
        <v>260</v>
      </c>
      <c r="D1179" s="6" t="s">
        <v>2829</v>
      </c>
      <c r="E1179" s="6" t="s">
        <v>2830</v>
      </c>
      <c r="F1179" s="6" t="s">
        <v>742</v>
      </c>
      <c r="G1179" s="6"/>
      <c r="H1179" s="6"/>
      <c r="I1179" s="6"/>
      <c r="J1179" s="6" t="s">
        <v>19</v>
      </c>
      <c r="K1179" s="6"/>
    </row>
    <row r="1180" customFormat="false" ht="12.8" hidden="false" customHeight="false" outlineLevel="0" collapsed="false">
      <c r="A1180" s="8" t="str">
        <f aca="false">HYPERLINK("https://www.fabsurplus.com/sdi_catalog/salesItemDetails.do?id=100156")</f>
        <v>https://www.fabsurplus.com/sdi_catalog/salesItemDetails.do?id=100156</v>
      </c>
      <c r="B1180" s="8" t="s">
        <v>2831</v>
      </c>
      <c r="C1180" s="8" t="s">
        <v>2832</v>
      </c>
      <c r="D1180" s="8" t="s">
        <v>2833</v>
      </c>
      <c r="E1180" s="8" t="s">
        <v>2834</v>
      </c>
      <c r="F1180" s="8" t="s">
        <v>16</v>
      </c>
      <c r="G1180" s="8" t="s">
        <v>1807</v>
      </c>
      <c r="H1180" s="8"/>
      <c r="I1180" s="8"/>
      <c r="J1180" s="8" t="s">
        <v>19</v>
      </c>
      <c r="K1180" s="8"/>
    </row>
    <row r="1181" customFormat="false" ht="12.8" hidden="false" customHeight="false" outlineLevel="0" collapsed="false">
      <c r="A1181" s="6" t="str">
        <f aca="false">HYPERLINK("https://www.fabsurplus.com/sdi_catalog/salesItemDetails.do?id=100155")</f>
        <v>https://www.fabsurplus.com/sdi_catalog/salesItemDetails.do?id=100155</v>
      </c>
      <c r="B1181" s="6" t="s">
        <v>2835</v>
      </c>
      <c r="C1181" s="6" t="s">
        <v>2832</v>
      </c>
      <c r="D1181" s="6" t="s">
        <v>2833</v>
      </c>
      <c r="E1181" s="6" t="s">
        <v>2834</v>
      </c>
      <c r="F1181" s="6" t="s">
        <v>16</v>
      </c>
      <c r="G1181" s="6" t="s">
        <v>1807</v>
      </c>
      <c r="H1181" s="6"/>
      <c r="I1181" s="6"/>
      <c r="J1181" s="6" t="s">
        <v>19</v>
      </c>
      <c r="K1181" s="6"/>
    </row>
    <row r="1182" customFormat="false" ht="12.8" hidden="false" customHeight="false" outlineLevel="0" collapsed="false">
      <c r="A1182" s="8" t="str">
        <f aca="false">HYPERLINK("https://www.fabsurplus.com/sdi_catalog/salesItemDetails.do?id=98604")</f>
        <v>https://www.fabsurplus.com/sdi_catalog/salesItemDetails.do?id=98604</v>
      </c>
      <c r="B1182" s="8" t="s">
        <v>2836</v>
      </c>
      <c r="C1182" s="8" t="s">
        <v>2837</v>
      </c>
      <c r="D1182" s="8" t="s">
        <v>2838</v>
      </c>
      <c r="E1182" s="8" t="s">
        <v>2839</v>
      </c>
      <c r="F1182" s="8" t="s">
        <v>16</v>
      </c>
      <c r="G1182" s="8" t="s">
        <v>310</v>
      </c>
      <c r="H1182" s="8"/>
      <c r="I1182" s="8"/>
      <c r="J1182" s="8" t="s">
        <v>19</v>
      </c>
      <c r="K1182" s="8"/>
    </row>
    <row r="1183" customFormat="false" ht="12.8" hidden="false" customHeight="false" outlineLevel="0" collapsed="false">
      <c r="A1183" s="6" t="str">
        <f aca="false">HYPERLINK("https://www.fabsurplus.com/sdi_catalog/salesItemDetails.do?id=98603")</f>
        <v>https://www.fabsurplus.com/sdi_catalog/salesItemDetails.do?id=98603</v>
      </c>
      <c r="B1183" s="6" t="s">
        <v>2840</v>
      </c>
      <c r="C1183" s="6" t="s">
        <v>2837</v>
      </c>
      <c r="D1183" s="6" t="s">
        <v>2838</v>
      </c>
      <c r="E1183" s="6" t="s">
        <v>2839</v>
      </c>
      <c r="F1183" s="6" t="s">
        <v>16</v>
      </c>
      <c r="G1183" s="6" t="s">
        <v>310</v>
      </c>
      <c r="H1183" s="6"/>
      <c r="I1183" s="6"/>
      <c r="J1183" s="6" t="s">
        <v>19</v>
      </c>
      <c r="K1183" s="6"/>
    </row>
    <row r="1184" customFormat="false" ht="12.8" hidden="false" customHeight="false" outlineLevel="0" collapsed="false">
      <c r="A1184" s="8" t="str">
        <f aca="false">HYPERLINK("https://www.fabsurplus.com/sdi_catalog/salesItemDetails.do?id=98602")</f>
        <v>https://www.fabsurplus.com/sdi_catalog/salesItemDetails.do?id=98602</v>
      </c>
      <c r="B1184" s="8" t="s">
        <v>2841</v>
      </c>
      <c r="C1184" s="8" t="s">
        <v>2837</v>
      </c>
      <c r="D1184" s="8" t="s">
        <v>2838</v>
      </c>
      <c r="E1184" s="8" t="s">
        <v>2839</v>
      </c>
      <c r="F1184" s="8" t="s">
        <v>16</v>
      </c>
      <c r="G1184" s="8" t="s">
        <v>310</v>
      </c>
      <c r="H1184" s="8"/>
      <c r="I1184" s="8"/>
      <c r="J1184" s="8" t="s">
        <v>19</v>
      </c>
      <c r="K1184" s="8"/>
    </row>
    <row r="1185" customFormat="false" ht="12.8" hidden="false" customHeight="false" outlineLevel="0" collapsed="false">
      <c r="A1185" s="8" t="str">
        <f aca="false">HYPERLINK("https://www.fabsurplus.com/sdi_catalog/salesItemDetails.do?id=98030")</f>
        <v>https://www.fabsurplus.com/sdi_catalog/salesItemDetails.do?id=98030</v>
      </c>
      <c r="B1185" s="8" t="s">
        <v>2842</v>
      </c>
      <c r="C1185" s="8" t="s">
        <v>2843</v>
      </c>
      <c r="D1185" s="8" t="s">
        <v>2844</v>
      </c>
      <c r="E1185" s="8" t="s">
        <v>1570</v>
      </c>
      <c r="F1185" s="8" t="s">
        <v>16</v>
      </c>
      <c r="G1185" s="8" t="s">
        <v>32</v>
      </c>
      <c r="H1185" s="8"/>
      <c r="I1185" s="8"/>
      <c r="J1185" s="8" t="s">
        <v>19</v>
      </c>
      <c r="K1185" s="8"/>
    </row>
    <row r="1186" customFormat="false" ht="12.8" hidden="false" customHeight="false" outlineLevel="0" collapsed="false">
      <c r="A1186" s="8" t="str">
        <f aca="false">HYPERLINK("https://www.fabsurplus.com/sdi_catalog/salesItemDetails.do?id=98340")</f>
        <v>https://www.fabsurplus.com/sdi_catalog/salesItemDetails.do?id=98340</v>
      </c>
      <c r="B1186" s="8" t="s">
        <v>2845</v>
      </c>
      <c r="C1186" s="8" t="s">
        <v>2846</v>
      </c>
      <c r="D1186" s="8" t="s">
        <v>2847</v>
      </c>
      <c r="E1186" s="8" t="s">
        <v>2848</v>
      </c>
      <c r="F1186" s="8" t="s">
        <v>16</v>
      </c>
      <c r="G1186" s="8" t="s">
        <v>32</v>
      </c>
      <c r="H1186" s="8"/>
      <c r="I1186" s="9" t="n">
        <v>37773</v>
      </c>
      <c r="J1186" s="8" t="s">
        <v>81</v>
      </c>
      <c r="K1186" s="8"/>
    </row>
    <row r="1187" customFormat="false" ht="12.8" hidden="false" customHeight="false" outlineLevel="0" collapsed="false">
      <c r="A1187" s="8" t="str">
        <f aca="false">HYPERLINK("https://www.fabsurplus.com/sdi_catalog/salesItemDetails.do?id=99852")</f>
        <v>https://www.fabsurplus.com/sdi_catalog/salesItemDetails.do?id=99852</v>
      </c>
      <c r="B1187" s="8" t="s">
        <v>2849</v>
      </c>
      <c r="C1187" s="8" t="s">
        <v>2846</v>
      </c>
      <c r="D1187" s="8" t="s">
        <v>2850</v>
      </c>
      <c r="E1187" s="8" t="s">
        <v>2851</v>
      </c>
      <c r="F1187" s="8" t="s">
        <v>16</v>
      </c>
      <c r="G1187" s="8" t="s">
        <v>372</v>
      </c>
      <c r="H1187" s="8"/>
      <c r="I1187" s="9" t="n">
        <v>39234</v>
      </c>
      <c r="J1187" s="8" t="s">
        <v>81</v>
      </c>
      <c r="K1187" s="8"/>
    </row>
    <row r="1188" customFormat="false" ht="12.8" hidden="false" customHeight="false" outlineLevel="0" collapsed="false">
      <c r="A1188" s="6" t="str">
        <f aca="false">HYPERLINK("https://www.fabsurplus.com/sdi_catalog/salesItemDetails.do?id=97451")</f>
        <v>https://www.fabsurplus.com/sdi_catalog/salesItemDetails.do?id=97451</v>
      </c>
      <c r="B1188" s="6" t="s">
        <v>2852</v>
      </c>
      <c r="C1188" s="6" t="s">
        <v>2846</v>
      </c>
      <c r="D1188" s="6" t="s">
        <v>2853</v>
      </c>
      <c r="E1188" s="6" t="s">
        <v>2854</v>
      </c>
      <c r="F1188" s="6" t="s">
        <v>16</v>
      </c>
      <c r="G1188" s="6"/>
      <c r="H1188" s="6" t="s">
        <v>18</v>
      </c>
      <c r="I1188" s="7" t="n">
        <v>40330</v>
      </c>
      <c r="J1188" s="6" t="s">
        <v>19</v>
      </c>
      <c r="K1188" s="6" t="s">
        <v>20</v>
      </c>
    </row>
    <row r="1189" customFormat="false" ht="12.8" hidden="false" customHeight="false" outlineLevel="0" collapsed="false">
      <c r="A1189" s="6" t="str">
        <f aca="false">HYPERLINK("https://www.fabsurplus.com/sdi_catalog/salesItemDetails.do?id=100055")</f>
        <v>https://www.fabsurplus.com/sdi_catalog/salesItemDetails.do?id=100055</v>
      </c>
      <c r="B1189" s="6" t="s">
        <v>2855</v>
      </c>
      <c r="C1189" s="6" t="s">
        <v>2846</v>
      </c>
      <c r="D1189" s="6" t="s">
        <v>2856</v>
      </c>
      <c r="E1189" s="6" t="s">
        <v>2857</v>
      </c>
      <c r="F1189" s="6" t="s">
        <v>16</v>
      </c>
      <c r="G1189" s="6" t="s">
        <v>2117</v>
      </c>
      <c r="H1189" s="6" t="s">
        <v>33</v>
      </c>
      <c r="I1189" s="7" t="n">
        <v>37043</v>
      </c>
      <c r="J1189" s="6" t="s">
        <v>19</v>
      </c>
      <c r="K1189" s="6" t="s">
        <v>20</v>
      </c>
    </row>
    <row r="1190" customFormat="false" ht="12.8" hidden="false" customHeight="false" outlineLevel="0" collapsed="false">
      <c r="A1190" s="8" t="str">
        <f aca="false">HYPERLINK("https://www.fabsurplus.com/sdi_catalog/salesItemDetails.do?id=99363")</f>
        <v>https://www.fabsurplus.com/sdi_catalog/salesItemDetails.do?id=99363</v>
      </c>
      <c r="B1190" s="8" t="s">
        <v>2858</v>
      </c>
      <c r="C1190" s="8" t="s">
        <v>2859</v>
      </c>
      <c r="D1190" s="8" t="s">
        <v>2860</v>
      </c>
      <c r="E1190" s="8" t="s">
        <v>2861</v>
      </c>
      <c r="F1190" s="8" t="s">
        <v>16</v>
      </c>
      <c r="G1190" s="8"/>
      <c r="H1190" s="8"/>
      <c r="I1190" s="9" t="n">
        <v>35217</v>
      </c>
      <c r="J1190" s="8" t="s">
        <v>19</v>
      </c>
      <c r="K1190" s="8"/>
    </row>
    <row r="1191" customFormat="false" ht="12.8" hidden="false" customHeight="false" outlineLevel="0" collapsed="false">
      <c r="A1191" s="6" t="str">
        <f aca="false">HYPERLINK("https://www.fabsurplus.com/sdi_catalog/salesItemDetails.do?id=97047")</f>
        <v>https://www.fabsurplus.com/sdi_catalog/salesItemDetails.do?id=97047</v>
      </c>
      <c r="B1191" s="6" t="s">
        <v>2862</v>
      </c>
      <c r="C1191" s="6" t="s">
        <v>2863</v>
      </c>
      <c r="D1191" s="6" t="s">
        <v>2864</v>
      </c>
      <c r="E1191" s="6" t="s">
        <v>2865</v>
      </c>
      <c r="F1191" s="6" t="s">
        <v>16</v>
      </c>
      <c r="G1191" s="6" t="s">
        <v>310</v>
      </c>
      <c r="H1191" s="6" t="s">
        <v>18</v>
      </c>
      <c r="I1191" s="7" t="n">
        <v>38869</v>
      </c>
      <c r="J1191" s="6" t="s">
        <v>19</v>
      </c>
      <c r="K1191" s="6" t="s">
        <v>20</v>
      </c>
    </row>
    <row r="1192" customFormat="false" ht="12.8" hidden="false" customHeight="false" outlineLevel="0" collapsed="false">
      <c r="A1192" s="6" t="str">
        <f aca="false">HYPERLINK("https://www.fabsurplus.com/sdi_catalog/salesItemDetails.do?id=98114")</f>
        <v>https://www.fabsurplus.com/sdi_catalog/salesItemDetails.do?id=98114</v>
      </c>
      <c r="B1192" s="6" t="s">
        <v>2866</v>
      </c>
      <c r="C1192" s="6" t="s">
        <v>2863</v>
      </c>
      <c r="D1192" s="6" t="s">
        <v>2867</v>
      </c>
      <c r="E1192" s="6" t="s">
        <v>2868</v>
      </c>
      <c r="F1192" s="6" t="s">
        <v>16</v>
      </c>
      <c r="G1192" s="6" t="s">
        <v>310</v>
      </c>
      <c r="H1192" s="6"/>
      <c r="I1192" s="7" t="n">
        <v>42887</v>
      </c>
      <c r="J1192" s="6" t="s">
        <v>19</v>
      </c>
      <c r="K1192" s="6"/>
    </row>
    <row r="1193" customFormat="false" ht="12.8" hidden="false" customHeight="false" outlineLevel="0" collapsed="false">
      <c r="A1193" s="6" t="str">
        <f aca="false">HYPERLINK("https://www.fabsurplus.com/sdi_catalog/salesItemDetails.do?id=99400")</f>
        <v>https://www.fabsurplus.com/sdi_catalog/salesItemDetails.do?id=99400</v>
      </c>
      <c r="B1193" s="6" t="s">
        <v>2869</v>
      </c>
      <c r="C1193" s="6" t="s">
        <v>2863</v>
      </c>
      <c r="D1193" s="6" t="s">
        <v>2870</v>
      </c>
      <c r="E1193" s="6" t="s">
        <v>2871</v>
      </c>
      <c r="F1193" s="6" t="s">
        <v>16</v>
      </c>
      <c r="G1193" s="6" t="s">
        <v>17</v>
      </c>
      <c r="H1193" s="6" t="s">
        <v>18</v>
      </c>
      <c r="I1193" s="6"/>
      <c r="J1193" s="6" t="s">
        <v>19</v>
      </c>
      <c r="K1193" s="6" t="s">
        <v>20</v>
      </c>
    </row>
    <row r="1194" customFormat="false" ht="12.8" hidden="false" customHeight="false" outlineLevel="0" collapsed="false">
      <c r="A1194" s="8" t="str">
        <f aca="false">HYPERLINK("https://www.fabsurplus.com/sdi_catalog/salesItemDetails.do?id=98055")</f>
        <v>https://www.fabsurplus.com/sdi_catalog/salesItemDetails.do?id=98055</v>
      </c>
      <c r="B1194" s="8" t="s">
        <v>2872</v>
      </c>
      <c r="C1194" s="8" t="s">
        <v>2863</v>
      </c>
      <c r="D1194" s="8" t="s">
        <v>2873</v>
      </c>
      <c r="E1194" s="8" t="s">
        <v>2874</v>
      </c>
      <c r="F1194" s="8" t="s">
        <v>16</v>
      </c>
      <c r="G1194" s="8" t="s">
        <v>310</v>
      </c>
      <c r="H1194" s="8"/>
      <c r="I1194" s="8"/>
      <c r="J1194" s="8" t="s">
        <v>19</v>
      </c>
      <c r="K1194" s="8"/>
    </row>
    <row r="1195" customFormat="false" ht="12.8" hidden="false" customHeight="false" outlineLevel="0" collapsed="false">
      <c r="A1195" s="8" t="str">
        <f aca="false">HYPERLINK("https://www.fabsurplus.com/sdi_catalog/salesItemDetails.do?id=98115")</f>
        <v>https://www.fabsurplus.com/sdi_catalog/salesItemDetails.do?id=98115</v>
      </c>
      <c r="B1195" s="8" t="s">
        <v>2875</v>
      </c>
      <c r="C1195" s="8" t="s">
        <v>2863</v>
      </c>
      <c r="D1195" s="8" t="s">
        <v>2876</v>
      </c>
      <c r="E1195" s="8" t="s">
        <v>2877</v>
      </c>
      <c r="F1195" s="8" t="s">
        <v>16</v>
      </c>
      <c r="G1195" s="8"/>
      <c r="H1195" s="8" t="s">
        <v>18</v>
      </c>
      <c r="I1195" s="9" t="n">
        <v>40969</v>
      </c>
      <c r="J1195" s="8" t="s">
        <v>19</v>
      </c>
      <c r="K1195" s="8" t="s">
        <v>20</v>
      </c>
    </row>
    <row r="1196" customFormat="false" ht="12.8" hidden="false" customHeight="false" outlineLevel="0" collapsed="false">
      <c r="A1196" s="8" t="str">
        <f aca="false">HYPERLINK("https://www.fabsurplus.com/sdi_catalog/salesItemDetails.do?id=99853")</f>
        <v>https://www.fabsurplus.com/sdi_catalog/salesItemDetails.do?id=99853</v>
      </c>
      <c r="B1196" s="8" t="s">
        <v>2878</v>
      </c>
      <c r="C1196" s="8" t="s">
        <v>2863</v>
      </c>
      <c r="D1196" s="8" t="s">
        <v>2879</v>
      </c>
      <c r="E1196" s="8" t="s">
        <v>2880</v>
      </c>
      <c r="F1196" s="8" t="s">
        <v>16</v>
      </c>
      <c r="G1196" s="8"/>
      <c r="H1196" s="8"/>
      <c r="I1196" s="8"/>
      <c r="J1196" s="8" t="s">
        <v>81</v>
      </c>
      <c r="K1196" s="8"/>
    </row>
    <row r="1197" customFormat="false" ht="12.8" hidden="false" customHeight="false" outlineLevel="0" collapsed="false">
      <c r="A1197" s="8" t="str">
        <f aca="false">HYPERLINK("https://www.fabsurplus.com/sdi_catalog/salesItemDetails.do?id=98205")</f>
        <v>https://www.fabsurplus.com/sdi_catalog/salesItemDetails.do?id=98205</v>
      </c>
      <c r="B1197" s="8" t="s">
        <v>2881</v>
      </c>
      <c r="C1197" s="8" t="s">
        <v>2882</v>
      </c>
      <c r="D1197" s="8" t="s">
        <v>2883</v>
      </c>
      <c r="E1197" s="8" t="s">
        <v>2884</v>
      </c>
      <c r="F1197" s="8" t="s">
        <v>16</v>
      </c>
      <c r="G1197" s="8" t="s">
        <v>612</v>
      </c>
      <c r="H1197" s="8"/>
      <c r="I1197" s="9" t="n">
        <v>38504</v>
      </c>
      <c r="J1197" s="8" t="s">
        <v>81</v>
      </c>
      <c r="K1197" s="8"/>
    </row>
    <row r="1198" customFormat="false" ht="12.8" hidden="false" customHeight="false" outlineLevel="0" collapsed="false">
      <c r="A1198" s="6" t="str">
        <f aca="false">HYPERLINK("https://www.fabsurplus.com/sdi_catalog/salesItemDetails.do?id=100706")</f>
        <v>https://www.fabsurplus.com/sdi_catalog/salesItemDetails.do?id=100706</v>
      </c>
      <c r="B1198" s="6" t="s">
        <v>2885</v>
      </c>
      <c r="C1198" s="6" t="s">
        <v>2886</v>
      </c>
      <c r="D1198" s="6" t="s">
        <v>2887</v>
      </c>
      <c r="E1198" s="6" t="s">
        <v>2888</v>
      </c>
      <c r="F1198" s="6" t="s">
        <v>16</v>
      </c>
      <c r="G1198" s="6"/>
      <c r="H1198" s="6"/>
      <c r="I1198" s="7" t="n">
        <v>39234</v>
      </c>
      <c r="J1198" s="6" t="s">
        <v>19</v>
      </c>
      <c r="K1198" s="6"/>
    </row>
    <row r="1199" customFormat="false" ht="12.8" hidden="false" customHeight="false" outlineLevel="0" collapsed="false">
      <c r="A1199" s="8" t="str">
        <f aca="false">HYPERLINK("https://www.fabsurplus.com/sdi_catalog/salesItemDetails.do?id=99316")</f>
        <v>https://www.fabsurplus.com/sdi_catalog/salesItemDetails.do?id=99316</v>
      </c>
      <c r="B1199" s="8" t="s">
        <v>2889</v>
      </c>
      <c r="C1199" s="8" t="s">
        <v>2890</v>
      </c>
      <c r="D1199" s="8" t="s">
        <v>2891</v>
      </c>
      <c r="E1199" s="8" t="s">
        <v>2892</v>
      </c>
      <c r="F1199" s="8" t="s">
        <v>626</v>
      </c>
      <c r="G1199" s="8"/>
      <c r="H1199" s="8"/>
      <c r="I1199" s="9" t="n">
        <v>35582</v>
      </c>
      <c r="J1199" s="8" t="s">
        <v>19</v>
      </c>
      <c r="K1199" s="8"/>
    </row>
    <row r="1200" customFormat="false" ht="12.8" hidden="false" customHeight="false" outlineLevel="0" collapsed="false">
      <c r="A1200" s="8" t="str">
        <f aca="false">HYPERLINK("https://www.fabsurplus.com/sdi_catalog/salesItemDetails.do?id=99318")</f>
        <v>https://www.fabsurplus.com/sdi_catalog/salesItemDetails.do?id=99318</v>
      </c>
      <c r="B1200" s="8" t="s">
        <v>2893</v>
      </c>
      <c r="C1200" s="8" t="s">
        <v>2890</v>
      </c>
      <c r="D1200" s="8" t="s">
        <v>2894</v>
      </c>
      <c r="E1200" s="8" t="s">
        <v>2892</v>
      </c>
      <c r="F1200" s="8" t="s">
        <v>16</v>
      </c>
      <c r="G1200" s="8"/>
      <c r="H1200" s="8"/>
      <c r="I1200" s="9" t="n">
        <v>34851</v>
      </c>
      <c r="J1200" s="8" t="s">
        <v>19</v>
      </c>
      <c r="K1200" s="8"/>
    </row>
    <row r="1201" customFormat="false" ht="12.8" hidden="false" customHeight="false" outlineLevel="0" collapsed="false">
      <c r="A1201" s="6" t="str">
        <f aca="false">HYPERLINK("https://www.fabsurplus.com/sdi_catalog/salesItemDetails.do?id=99317")</f>
        <v>https://www.fabsurplus.com/sdi_catalog/salesItemDetails.do?id=99317</v>
      </c>
      <c r="B1201" s="6" t="s">
        <v>2895</v>
      </c>
      <c r="C1201" s="6" t="s">
        <v>2890</v>
      </c>
      <c r="D1201" s="6" t="s">
        <v>2894</v>
      </c>
      <c r="E1201" s="6" t="s">
        <v>2892</v>
      </c>
      <c r="F1201" s="6" t="s">
        <v>626</v>
      </c>
      <c r="G1201" s="6"/>
      <c r="H1201" s="6"/>
      <c r="I1201" s="7" t="n">
        <v>35582</v>
      </c>
      <c r="J1201" s="6" t="s">
        <v>19</v>
      </c>
      <c r="K1201" s="6"/>
    </row>
    <row r="1202" customFormat="false" ht="12.8" hidden="false" customHeight="false" outlineLevel="0" collapsed="false">
      <c r="A1202" s="6" t="str">
        <f aca="false">HYPERLINK("https://www.fabsurplus.com/sdi_catalog/salesItemDetails.do?id=99319")</f>
        <v>https://www.fabsurplus.com/sdi_catalog/salesItemDetails.do?id=99319</v>
      </c>
      <c r="B1202" s="6" t="s">
        <v>2896</v>
      </c>
      <c r="C1202" s="6" t="s">
        <v>2890</v>
      </c>
      <c r="D1202" s="6" t="s">
        <v>2897</v>
      </c>
      <c r="E1202" s="6" t="s">
        <v>2898</v>
      </c>
      <c r="F1202" s="6" t="s">
        <v>16</v>
      </c>
      <c r="G1202" s="6"/>
      <c r="H1202" s="6"/>
      <c r="I1202" s="7" t="n">
        <v>37043</v>
      </c>
      <c r="J1202" s="6" t="s">
        <v>19</v>
      </c>
      <c r="K1202" s="6"/>
    </row>
    <row r="1203" customFormat="false" ht="12.8" hidden="false" customHeight="false" outlineLevel="0" collapsed="false">
      <c r="A1203" s="6" t="str">
        <f aca="false">HYPERLINK("https://www.fabsurplus.com/sdi_catalog/salesItemDetails.do?id=97924")</f>
        <v>https://www.fabsurplus.com/sdi_catalog/salesItemDetails.do?id=97924</v>
      </c>
      <c r="B1203" s="6" t="s">
        <v>2899</v>
      </c>
      <c r="C1203" s="6" t="s">
        <v>2890</v>
      </c>
      <c r="D1203" s="6" t="s">
        <v>2900</v>
      </c>
      <c r="E1203" s="6" t="s">
        <v>2901</v>
      </c>
      <c r="F1203" s="6" t="s">
        <v>16</v>
      </c>
      <c r="G1203" s="6" t="s">
        <v>1851</v>
      </c>
      <c r="H1203" s="6"/>
      <c r="I1203" s="6"/>
      <c r="J1203" s="6" t="s">
        <v>81</v>
      </c>
      <c r="K1203" s="6"/>
    </row>
    <row r="1204" customFormat="false" ht="12.8" hidden="false" customHeight="false" outlineLevel="0" collapsed="false">
      <c r="A1204" s="8" t="str">
        <f aca="false">HYPERLINK("https://www.fabsurplus.com/sdi_catalog/salesItemDetails.do?id=99320")</f>
        <v>https://www.fabsurplus.com/sdi_catalog/salesItemDetails.do?id=99320</v>
      </c>
      <c r="B1204" s="8" t="s">
        <v>2902</v>
      </c>
      <c r="C1204" s="8" t="s">
        <v>2903</v>
      </c>
      <c r="D1204" s="8" t="s">
        <v>2891</v>
      </c>
      <c r="E1204" s="8" t="s">
        <v>2892</v>
      </c>
      <c r="F1204" s="8" t="s">
        <v>611</v>
      </c>
      <c r="G1204" s="8"/>
      <c r="H1204" s="8"/>
      <c r="I1204" s="9" t="n">
        <v>39965</v>
      </c>
      <c r="J1204" s="8" t="s">
        <v>19</v>
      </c>
      <c r="K1204" s="8"/>
    </row>
    <row r="1205" customFormat="false" ht="12.8" hidden="false" customHeight="false" outlineLevel="0" collapsed="false">
      <c r="A1205" s="8" t="str">
        <f aca="false">HYPERLINK("https://www.fabsurplus.com/sdi_catalog/salesItemDetails.do?id=99322")</f>
        <v>https://www.fabsurplus.com/sdi_catalog/salesItemDetails.do?id=99322</v>
      </c>
      <c r="B1205" s="8" t="s">
        <v>2904</v>
      </c>
      <c r="C1205" s="8" t="s">
        <v>2905</v>
      </c>
      <c r="D1205" s="8" t="s">
        <v>2891</v>
      </c>
      <c r="E1205" s="8" t="s">
        <v>2906</v>
      </c>
      <c r="F1205" s="8" t="s">
        <v>16</v>
      </c>
      <c r="G1205" s="8"/>
      <c r="H1205" s="8"/>
      <c r="I1205" s="9" t="n">
        <v>37773</v>
      </c>
      <c r="J1205" s="8" t="s">
        <v>19</v>
      </c>
      <c r="K1205" s="8"/>
    </row>
    <row r="1206" customFormat="false" ht="12.8" hidden="false" customHeight="false" outlineLevel="0" collapsed="false">
      <c r="A1206" s="6" t="str">
        <f aca="false">HYPERLINK("https://www.fabsurplus.com/sdi_catalog/salesItemDetails.do?id=99321")</f>
        <v>https://www.fabsurplus.com/sdi_catalog/salesItemDetails.do?id=99321</v>
      </c>
      <c r="B1206" s="6" t="s">
        <v>2907</v>
      </c>
      <c r="C1206" s="6" t="s">
        <v>2905</v>
      </c>
      <c r="D1206" s="6" t="s">
        <v>2891</v>
      </c>
      <c r="E1206" s="6" t="s">
        <v>2906</v>
      </c>
      <c r="F1206" s="6" t="s">
        <v>16</v>
      </c>
      <c r="G1206" s="6"/>
      <c r="H1206" s="6"/>
      <c r="I1206" s="7" t="n">
        <v>37773</v>
      </c>
      <c r="J1206" s="6" t="s">
        <v>19</v>
      </c>
      <c r="K1206" s="6"/>
    </row>
    <row r="1207" customFormat="false" ht="12.8" hidden="false" customHeight="false" outlineLevel="0" collapsed="false">
      <c r="A1207" s="6" t="str">
        <f aca="false">HYPERLINK("https://www.fabsurplus.com/sdi_catalog/salesItemDetails.do?id=97925")</f>
        <v>https://www.fabsurplus.com/sdi_catalog/salesItemDetails.do?id=97925</v>
      </c>
      <c r="B1207" s="6" t="s">
        <v>2908</v>
      </c>
      <c r="C1207" s="6" t="s">
        <v>2909</v>
      </c>
      <c r="D1207" s="6" t="s">
        <v>2910</v>
      </c>
      <c r="E1207" s="6" t="s">
        <v>2911</v>
      </c>
      <c r="F1207" s="6" t="s">
        <v>16</v>
      </c>
      <c r="G1207" s="6" t="s">
        <v>32</v>
      </c>
      <c r="H1207" s="6" t="s">
        <v>18</v>
      </c>
      <c r="I1207" s="6"/>
      <c r="J1207" s="6" t="s">
        <v>19</v>
      </c>
      <c r="K1207" s="6" t="s">
        <v>20</v>
      </c>
    </row>
    <row r="1208" customFormat="false" ht="12.8" hidden="false" customHeight="false" outlineLevel="0" collapsed="false">
      <c r="A1208" s="6" t="str">
        <f aca="false">HYPERLINK("https://www.fabsurplus.com/sdi_catalog/salesItemDetails.do?id=97853")</f>
        <v>https://www.fabsurplus.com/sdi_catalog/salesItemDetails.do?id=97853</v>
      </c>
      <c r="B1208" s="6" t="s">
        <v>2912</v>
      </c>
      <c r="C1208" s="6" t="s">
        <v>2913</v>
      </c>
      <c r="D1208" s="6" t="s">
        <v>2914</v>
      </c>
      <c r="E1208" s="6" t="s">
        <v>2915</v>
      </c>
      <c r="F1208" s="6" t="s">
        <v>16</v>
      </c>
      <c r="G1208" s="6"/>
      <c r="H1208" s="6"/>
      <c r="I1208" s="6"/>
      <c r="J1208" s="6" t="s">
        <v>19</v>
      </c>
      <c r="K1208" s="6"/>
    </row>
    <row r="1209" customFormat="false" ht="12.8" hidden="false" customHeight="false" outlineLevel="0" collapsed="false">
      <c r="A1209" s="6" t="str">
        <f aca="false">HYPERLINK("https://www.fabsurplus.com/sdi_catalog/salesItemDetails.do?id=97077")</f>
        <v>https://www.fabsurplus.com/sdi_catalog/salesItemDetails.do?id=97077</v>
      </c>
      <c r="B1209" s="6" t="s">
        <v>2916</v>
      </c>
      <c r="C1209" s="6" t="s">
        <v>2917</v>
      </c>
      <c r="D1209" s="6" t="s">
        <v>2918</v>
      </c>
      <c r="E1209" s="6" t="s">
        <v>2919</v>
      </c>
      <c r="F1209" s="6" t="s">
        <v>16</v>
      </c>
      <c r="G1209" s="6"/>
      <c r="H1209" s="6" t="s">
        <v>115</v>
      </c>
      <c r="I1209" s="6"/>
      <c r="J1209" s="6" t="s">
        <v>19</v>
      </c>
      <c r="K1209" s="6"/>
    </row>
    <row r="1210" customFormat="false" ht="12.8" hidden="false" customHeight="false" outlineLevel="0" collapsed="false">
      <c r="A1210" s="6" t="str">
        <f aca="false">HYPERLINK("https://www.fabsurplus.com/sdi_catalog/salesItemDetails.do?id=99986")</f>
        <v>https://www.fabsurplus.com/sdi_catalog/salesItemDetails.do?id=99986</v>
      </c>
      <c r="B1210" s="6" t="s">
        <v>2920</v>
      </c>
      <c r="C1210" s="6" t="s">
        <v>2921</v>
      </c>
      <c r="D1210" s="6" t="s">
        <v>2922</v>
      </c>
      <c r="E1210" s="6" t="s">
        <v>2923</v>
      </c>
      <c r="F1210" s="6" t="s">
        <v>16</v>
      </c>
      <c r="G1210" s="6" t="s">
        <v>697</v>
      </c>
      <c r="H1210" s="6"/>
      <c r="I1210" s="7" t="n">
        <v>34851</v>
      </c>
      <c r="J1210" s="6" t="s">
        <v>19</v>
      </c>
      <c r="K1210" s="6"/>
    </row>
    <row r="1211" customFormat="false" ht="12.8" hidden="false" customHeight="false" outlineLevel="0" collapsed="false">
      <c r="A1211" s="8" t="str">
        <f aca="false">HYPERLINK("https://www.fabsurplus.com/sdi_catalog/salesItemDetails.do?id=99985")</f>
        <v>https://www.fabsurplus.com/sdi_catalog/salesItemDetails.do?id=99985</v>
      </c>
      <c r="B1211" s="8" t="s">
        <v>2924</v>
      </c>
      <c r="C1211" s="8" t="s">
        <v>2921</v>
      </c>
      <c r="D1211" s="8" t="s">
        <v>2922</v>
      </c>
      <c r="E1211" s="8" t="s">
        <v>2923</v>
      </c>
      <c r="F1211" s="8" t="s">
        <v>16</v>
      </c>
      <c r="G1211" s="8" t="s">
        <v>697</v>
      </c>
      <c r="H1211" s="8"/>
      <c r="I1211" s="9" t="n">
        <v>34851</v>
      </c>
      <c r="J1211" s="8" t="s">
        <v>19</v>
      </c>
      <c r="K1211" s="8"/>
    </row>
    <row r="1212" customFormat="false" ht="12.8" hidden="false" customHeight="false" outlineLevel="0" collapsed="false">
      <c r="A1212" s="8" t="str">
        <f aca="false">HYPERLINK("https://www.fabsurplus.com/sdi_catalog/salesItemDetails.do?id=98341")</f>
        <v>https://www.fabsurplus.com/sdi_catalog/salesItemDetails.do?id=98341</v>
      </c>
      <c r="B1212" s="8" t="s">
        <v>2925</v>
      </c>
      <c r="C1212" s="8" t="s">
        <v>2926</v>
      </c>
      <c r="D1212" s="8" t="s">
        <v>2927</v>
      </c>
      <c r="E1212" s="8" t="s">
        <v>2928</v>
      </c>
      <c r="F1212" s="8" t="s">
        <v>16</v>
      </c>
      <c r="G1212" s="8" t="s">
        <v>32</v>
      </c>
      <c r="H1212" s="8"/>
      <c r="I1212" s="8"/>
      <c r="J1212" s="8" t="s">
        <v>81</v>
      </c>
      <c r="K1212" s="8"/>
    </row>
    <row r="1213" customFormat="false" ht="12.8" hidden="false" customHeight="false" outlineLevel="0" collapsed="false">
      <c r="A1213" s="6" t="str">
        <f aca="false">HYPERLINK("https://www.fabsurplus.com/sdi_catalog/salesItemDetails.do?id=98342")</f>
        <v>https://www.fabsurplus.com/sdi_catalog/salesItemDetails.do?id=98342</v>
      </c>
      <c r="B1213" s="6" t="s">
        <v>2929</v>
      </c>
      <c r="C1213" s="6" t="s">
        <v>2926</v>
      </c>
      <c r="D1213" s="6" t="s">
        <v>2930</v>
      </c>
      <c r="E1213" s="6" t="s">
        <v>2931</v>
      </c>
      <c r="F1213" s="6" t="s">
        <v>16</v>
      </c>
      <c r="G1213" s="6" t="s">
        <v>32</v>
      </c>
      <c r="H1213" s="6"/>
      <c r="I1213" s="6"/>
      <c r="J1213" s="6" t="s">
        <v>81</v>
      </c>
      <c r="K1213" s="6"/>
    </row>
    <row r="1214" customFormat="false" ht="12.8" hidden="false" customHeight="false" outlineLevel="0" collapsed="false">
      <c r="A1214" s="6" t="str">
        <f aca="false">HYPERLINK("https://www.fabsurplus.com/sdi_catalog/salesItemDetails.do?id=98117")</f>
        <v>https://www.fabsurplus.com/sdi_catalog/salesItemDetails.do?id=98117</v>
      </c>
      <c r="B1214" s="6" t="s">
        <v>2932</v>
      </c>
      <c r="C1214" s="6" t="s">
        <v>2933</v>
      </c>
      <c r="D1214" s="6" t="s">
        <v>2934</v>
      </c>
      <c r="E1214" s="6" t="s">
        <v>2050</v>
      </c>
      <c r="F1214" s="6" t="s">
        <v>16</v>
      </c>
      <c r="G1214" s="6" t="s">
        <v>32</v>
      </c>
      <c r="H1214" s="6"/>
      <c r="I1214" s="7" t="n">
        <v>38504</v>
      </c>
      <c r="J1214" s="6" t="s">
        <v>19</v>
      </c>
      <c r="K1214" s="6"/>
    </row>
    <row r="1215" customFormat="false" ht="12.8" hidden="false" customHeight="false" outlineLevel="0" collapsed="false">
      <c r="A1215" s="8" t="str">
        <f aca="false">HYPERLINK("https://www.fabsurplus.com/sdi_catalog/salesItemDetails.do?id=98116")</f>
        <v>https://www.fabsurplus.com/sdi_catalog/salesItemDetails.do?id=98116</v>
      </c>
      <c r="B1215" s="8" t="s">
        <v>2935</v>
      </c>
      <c r="C1215" s="8" t="s">
        <v>2933</v>
      </c>
      <c r="D1215" s="8" t="s">
        <v>2934</v>
      </c>
      <c r="E1215" s="8" t="s">
        <v>2050</v>
      </c>
      <c r="F1215" s="8" t="s">
        <v>16</v>
      </c>
      <c r="G1215" s="8" t="s">
        <v>32</v>
      </c>
      <c r="H1215" s="8"/>
      <c r="I1215" s="9" t="n">
        <v>36678</v>
      </c>
      <c r="J1215" s="8" t="s">
        <v>19</v>
      </c>
      <c r="K1215" s="8"/>
    </row>
    <row r="1216" customFormat="false" ht="12.8" hidden="false" customHeight="false" outlineLevel="0" collapsed="false">
      <c r="A1216" s="8" t="str">
        <f aca="false">HYPERLINK("https://www.fabsurplus.com/sdi_catalog/salesItemDetails.do?id=99414")</f>
        <v>https://www.fabsurplus.com/sdi_catalog/salesItemDetails.do?id=99414</v>
      </c>
      <c r="B1216" s="8" t="s">
        <v>2936</v>
      </c>
      <c r="C1216" s="8" t="s">
        <v>2937</v>
      </c>
      <c r="D1216" s="8" t="s">
        <v>2938</v>
      </c>
      <c r="E1216" s="8" t="s">
        <v>2939</v>
      </c>
      <c r="F1216" s="8" t="s">
        <v>16</v>
      </c>
      <c r="G1216" s="8"/>
      <c r="H1216" s="8"/>
      <c r="I1216" s="8"/>
      <c r="J1216" s="8" t="s">
        <v>19</v>
      </c>
      <c r="K1216" s="8"/>
    </row>
    <row r="1217" customFormat="false" ht="12.8" hidden="false" customHeight="false" outlineLevel="0" collapsed="false">
      <c r="A1217" s="6" t="str">
        <f aca="false">HYPERLINK("https://www.fabsurplus.com/sdi_catalog/salesItemDetails.do?id=96796")</f>
        <v>https://www.fabsurplus.com/sdi_catalog/salesItemDetails.do?id=96796</v>
      </c>
      <c r="B1217" s="6" t="s">
        <v>2940</v>
      </c>
      <c r="C1217" s="6" t="s">
        <v>2941</v>
      </c>
      <c r="D1217" s="6" t="s">
        <v>624</v>
      </c>
      <c r="E1217" s="6" t="s">
        <v>2942</v>
      </c>
      <c r="F1217" s="6" t="s">
        <v>16</v>
      </c>
      <c r="G1217" s="6" t="s">
        <v>2943</v>
      </c>
      <c r="H1217" s="6" t="s">
        <v>33</v>
      </c>
      <c r="I1217" s="6"/>
      <c r="J1217" s="6" t="s">
        <v>19</v>
      </c>
      <c r="K1217" s="6" t="s">
        <v>20</v>
      </c>
    </row>
    <row r="1218" customFormat="false" ht="12.8" hidden="false" customHeight="false" outlineLevel="0" collapsed="false">
      <c r="A1218" s="6" t="str">
        <f aca="false">HYPERLINK("https://www.fabsurplus.com/sdi_catalog/salesItemDetails.do?id=98463")</f>
        <v>https://www.fabsurplus.com/sdi_catalog/salesItemDetails.do?id=98463</v>
      </c>
      <c r="B1218" s="6" t="s">
        <v>2944</v>
      </c>
      <c r="C1218" s="6" t="s">
        <v>2945</v>
      </c>
      <c r="D1218" s="6" t="s">
        <v>2946</v>
      </c>
      <c r="E1218" s="6" t="s">
        <v>2947</v>
      </c>
      <c r="F1218" s="6" t="s">
        <v>16</v>
      </c>
      <c r="G1218" s="6" t="s">
        <v>697</v>
      </c>
      <c r="H1218" s="6"/>
      <c r="I1218" s="6"/>
      <c r="J1218" s="6" t="s">
        <v>19</v>
      </c>
      <c r="K1218" s="6"/>
    </row>
    <row r="1219" customFormat="false" ht="12.8" hidden="false" customHeight="false" outlineLevel="0" collapsed="false">
      <c r="A1219" s="8" t="str">
        <f aca="false">HYPERLINK("https://www.fabsurplus.com/sdi_catalog/salesItemDetails.do?id=98464")</f>
        <v>https://www.fabsurplus.com/sdi_catalog/salesItemDetails.do?id=98464</v>
      </c>
      <c r="B1219" s="8" t="s">
        <v>2948</v>
      </c>
      <c r="C1219" s="8" t="s">
        <v>2945</v>
      </c>
      <c r="D1219" s="8" t="s">
        <v>2949</v>
      </c>
      <c r="E1219" s="8" t="s">
        <v>2179</v>
      </c>
      <c r="F1219" s="8" t="s">
        <v>16</v>
      </c>
      <c r="G1219" s="8" t="s">
        <v>697</v>
      </c>
      <c r="H1219" s="8"/>
      <c r="I1219" s="8"/>
      <c r="J1219" s="8" t="s">
        <v>19</v>
      </c>
      <c r="K1219" s="8"/>
    </row>
    <row r="1220" customFormat="false" ht="12.8" hidden="false" customHeight="false" outlineLevel="0" collapsed="false">
      <c r="A1220" s="6" t="str">
        <f aca="false">HYPERLINK("https://www.fabsurplus.com/sdi_catalog/salesItemDetails.do?id=99854")</f>
        <v>https://www.fabsurplus.com/sdi_catalog/salesItemDetails.do?id=99854</v>
      </c>
      <c r="B1220" s="6" t="s">
        <v>2950</v>
      </c>
      <c r="C1220" s="6" t="s">
        <v>2951</v>
      </c>
      <c r="D1220" s="6" t="s">
        <v>2952</v>
      </c>
      <c r="E1220" s="6" t="s">
        <v>2953</v>
      </c>
      <c r="F1220" s="6" t="s">
        <v>16</v>
      </c>
      <c r="G1220" s="6"/>
      <c r="H1220" s="6"/>
      <c r="I1220" s="7" t="n">
        <v>38139</v>
      </c>
      <c r="J1220" s="6" t="s">
        <v>81</v>
      </c>
      <c r="K1220" s="6"/>
    </row>
    <row r="1221" customFormat="false" ht="12.8" hidden="false" customHeight="false" outlineLevel="0" collapsed="false">
      <c r="A1221" s="8" t="str">
        <f aca="false">HYPERLINK("https://www.fabsurplus.com/sdi_catalog/salesItemDetails.do?id=98317")</f>
        <v>https://www.fabsurplus.com/sdi_catalog/salesItemDetails.do?id=98317</v>
      </c>
      <c r="B1221" s="8" t="s">
        <v>2954</v>
      </c>
      <c r="C1221" s="8" t="s">
        <v>2951</v>
      </c>
      <c r="D1221" s="8" t="s">
        <v>2955</v>
      </c>
      <c r="E1221" s="8" t="s">
        <v>2371</v>
      </c>
      <c r="F1221" s="8" t="s">
        <v>16</v>
      </c>
      <c r="G1221" s="8" t="s">
        <v>228</v>
      </c>
      <c r="H1221" s="8" t="s">
        <v>33</v>
      </c>
      <c r="I1221" s="9" t="n">
        <v>38930</v>
      </c>
      <c r="J1221" s="8" t="s">
        <v>19</v>
      </c>
      <c r="K1221" s="8" t="s">
        <v>20</v>
      </c>
    </row>
    <row r="1222" customFormat="false" ht="12.8" hidden="false" customHeight="false" outlineLevel="0" collapsed="false">
      <c r="A1222" s="8" t="str">
        <f aca="false">HYPERLINK("https://www.fabsurplus.com/sdi_catalog/salesItemDetails.do?id=97857")</f>
        <v>https://www.fabsurplus.com/sdi_catalog/salesItemDetails.do?id=97857</v>
      </c>
      <c r="B1222" s="8" t="s">
        <v>2956</v>
      </c>
      <c r="C1222" s="8" t="s">
        <v>2957</v>
      </c>
      <c r="D1222" s="8" t="s">
        <v>2958</v>
      </c>
      <c r="E1222" s="8" t="s">
        <v>805</v>
      </c>
      <c r="F1222" s="8" t="s">
        <v>16</v>
      </c>
      <c r="G1222" s="8"/>
      <c r="H1222" s="8"/>
      <c r="I1222" s="8"/>
      <c r="J1222" s="8" t="s">
        <v>19</v>
      </c>
      <c r="K1222" s="8"/>
    </row>
    <row r="1223" customFormat="false" ht="12.8" hidden="false" customHeight="false" outlineLevel="0" collapsed="false">
      <c r="A1223" s="6" t="str">
        <f aca="false">HYPERLINK("https://www.fabsurplus.com/sdi_catalog/salesItemDetails.do?id=97856")</f>
        <v>https://www.fabsurplus.com/sdi_catalog/salesItemDetails.do?id=97856</v>
      </c>
      <c r="B1223" s="6" t="s">
        <v>2959</v>
      </c>
      <c r="C1223" s="6" t="s">
        <v>2957</v>
      </c>
      <c r="D1223" s="6" t="s">
        <v>2958</v>
      </c>
      <c r="E1223" s="6" t="s">
        <v>805</v>
      </c>
      <c r="F1223" s="6" t="s">
        <v>16</v>
      </c>
      <c r="G1223" s="6"/>
      <c r="H1223" s="6"/>
      <c r="I1223" s="6"/>
      <c r="J1223" s="6" t="s">
        <v>19</v>
      </c>
      <c r="K1223" s="6"/>
    </row>
    <row r="1224" customFormat="false" ht="12.8" hidden="false" customHeight="false" outlineLevel="0" collapsed="false">
      <c r="A1224" s="8" t="str">
        <f aca="false">HYPERLINK("https://www.fabsurplus.com/sdi_catalog/salesItemDetails.do?id=97855")</f>
        <v>https://www.fabsurplus.com/sdi_catalog/salesItemDetails.do?id=97855</v>
      </c>
      <c r="B1224" s="8" t="s">
        <v>2960</v>
      </c>
      <c r="C1224" s="8" t="s">
        <v>2957</v>
      </c>
      <c r="D1224" s="8" t="s">
        <v>2958</v>
      </c>
      <c r="E1224" s="8" t="s">
        <v>805</v>
      </c>
      <c r="F1224" s="8" t="s">
        <v>16</v>
      </c>
      <c r="G1224" s="8"/>
      <c r="H1224" s="8"/>
      <c r="I1224" s="8"/>
      <c r="J1224" s="8" t="s">
        <v>19</v>
      </c>
      <c r="K1224" s="8"/>
    </row>
    <row r="1225" customFormat="false" ht="12.8" hidden="false" customHeight="false" outlineLevel="0" collapsed="false">
      <c r="A1225" s="6" t="str">
        <f aca="false">HYPERLINK("https://www.fabsurplus.com/sdi_catalog/salesItemDetails.do?id=97854")</f>
        <v>https://www.fabsurplus.com/sdi_catalog/salesItemDetails.do?id=97854</v>
      </c>
      <c r="B1225" s="6" t="s">
        <v>2961</v>
      </c>
      <c r="C1225" s="6" t="s">
        <v>2957</v>
      </c>
      <c r="D1225" s="6" t="s">
        <v>2958</v>
      </c>
      <c r="E1225" s="6" t="s">
        <v>560</v>
      </c>
      <c r="F1225" s="6" t="s">
        <v>16</v>
      </c>
      <c r="G1225" s="6"/>
      <c r="H1225" s="6"/>
      <c r="I1225" s="6"/>
      <c r="J1225" s="6" t="s">
        <v>19</v>
      </c>
      <c r="K1225" s="6"/>
    </row>
    <row r="1226" customFormat="false" ht="12.8" hidden="false" customHeight="false" outlineLevel="0" collapsed="false">
      <c r="A1226" s="6" t="str">
        <f aca="false">HYPERLINK("https://www.fabsurplus.com/sdi_catalog/salesItemDetails.do?id=97858")</f>
        <v>https://www.fabsurplus.com/sdi_catalog/salesItemDetails.do?id=97858</v>
      </c>
      <c r="B1226" s="6" t="s">
        <v>2962</v>
      </c>
      <c r="C1226" s="6" t="s">
        <v>2957</v>
      </c>
      <c r="D1226" s="6" t="s">
        <v>2963</v>
      </c>
      <c r="E1226" s="6" t="s">
        <v>805</v>
      </c>
      <c r="F1226" s="6" t="s">
        <v>16</v>
      </c>
      <c r="G1226" s="6"/>
      <c r="H1226" s="6"/>
      <c r="I1226" s="6"/>
      <c r="J1226" s="6" t="s">
        <v>19</v>
      </c>
      <c r="K1226" s="6"/>
    </row>
    <row r="1227" customFormat="false" ht="12.8" hidden="false" customHeight="false" outlineLevel="0" collapsed="false">
      <c r="A1227" s="8" t="str">
        <f aca="false">HYPERLINK("https://www.fabsurplus.com/sdi_catalog/salesItemDetails.do?id=98606")</f>
        <v>https://www.fabsurplus.com/sdi_catalog/salesItemDetails.do?id=98606</v>
      </c>
      <c r="B1227" s="8" t="s">
        <v>2964</v>
      </c>
      <c r="C1227" s="8" t="s">
        <v>2965</v>
      </c>
      <c r="D1227" s="8" t="s">
        <v>2966</v>
      </c>
      <c r="E1227" s="8" t="s">
        <v>2967</v>
      </c>
      <c r="F1227" s="8" t="s">
        <v>16</v>
      </c>
      <c r="G1227" s="8"/>
      <c r="H1227" s="8"/>
      <c r="I1227" s="8"/>
      <c r="J1227" s="8" t="s">
        <v>19</v>
      </c>
      <c r="K1227" s="8"/>
    </row>
    <row r="1228" customFormat="false" ht="12.8" hidden="false" customHeight="false" outlineLevel="0" collapsed="false">
      <c r="A1228" s="8" t="str">
        <f aca="false">HYPERLINK("https://www.fabsurplus.com/sdi_catalog/salesItemDetails.do?id=97196")</f>
        <v>https://www.fabsurplus.com/sdi_catalog/salesItemDetails.do?id=97196</v>
      </c>
      <c r="B1228" s="8" t="s">
        <v>2968</v>
      </c>
      <c r="C1228" s="8" t="s">
        <v>2969</v>
      </c>
      <c r="D1228" s="8" t="s">
        <v>2970</v>
      </c>
      <c r="E1228" s="8" t="s">
        <v>1929</v>
      </c>
      <c r="F1228" s="8" t="s">
        <v>16</v>
      </c>
      <c r="G1228" s="8" t="s">
        <v>434</v>
      </c>
      <c r="H1228" s="8"/>
      <c r="I1228" s="9" t="n">
        <v>38504</v>
      </c>
      <c r="J1228" s="8" t="s">
        <v>19</v>
      </c>
      <c r="K1228" s="8"/>
    </row>
    <row r="1229" customFormat="false" ht="12.8" hidden="false" customHeight="false" outlineLevel="0" collapsed="false">
      <c r="A1229" s="6" t="str">
        <f aca="false">HYPERLINK("https://www.fabsurplus.com/sdi_catalog/salesItemDetails.do?id=97197")</f>
        <v>https://www.fabsurplus.com/sdi_catalog/salesItemDetails.do?id=97197</v>
      </c>
      <c r="B1229" s="6" t="s">
        <v>2971</v>
      </c>
      <c r="C1229" s="6" t="s">
        <v>2969</v>
      </c>
      <c r="D1229" s="6" t="s">
        <v>2972</v>
      </c>
      <c r="E1229" s="6" t="s">
        <v>1929</v>
      </c>
      <c r="F1229" s="6" t="s">
        <v>2540</v>
      </c>
      <c r="G1229" s="6" t="s">
        <v>434</v>
      </c>
      <c r="H1229" s="6"/>
      <c r="I1229" s="7" t="n">
        <v>38869</v>
      </c>
      <c r="J1229" s="6" t="s">
        <v>19</v>
      </c>
      <c r="K1229" s="6"/>
    </row>
    <row r="1230" customFormat="false" ht="12.8" hidden="false" customHeight="false" outlineLevel="0" collapsed="false">
      <c r="A1230" s="6" t="str">
        <f aca="false">HYPERLINK("https://www.fabsurplus.com/sdi_catalog/salesItemDetails.do?id=97928")</f>
        <v>https://www.fabsurplus.com/sdi_catalog/salesItemDetails.do?id=97928</v>
      </c>
      <c r="B1230" s="6" t="s">
        <v>2973</v>
      </c>
      <c r="C1230" s="6" t="s">
        <v>2974</v>
      </c>
      <c r="D1230" s="6" t="s">
        <v>2975</v>
      </c>
      <c r="E1230" s="6" t="s">
        <v>2976</v>
      </c>
      <c r="F1230" s="6" t="s">
        <v>611</v>
      </c>
      <c r="G1230" s="6" t="s">
        <v>1851</v>
      </c>
      <c r="H1230" s="6"/>
      <c r="I1230" s="6"/>
      <c r="J1230" s="6" t="s">
        <v>81</v>
      </c>
      <c r="K1230" s="6"/>
    </row>
    <row r="1231" customFormat="false" ht="12.8" hidden="false" customHeight="false" outlineLevel="0" collapsed="false">
      <c r="A1231" s="6" t="str">
        <f aca="false">HYPERLINK("https://www.fabsurplus.com/sdi_catalog/salesItemDetails.do?id=99957")</f>
        <v>https://www.fabsurplus.com/sdi_catalog/salesItemDetails.do?id=99957</v>
      </c>
      <c r="B1231" s="6" t="s">
        <v>2977</v>
      </c>
      <c r="C1231" s="6" t="s">
        <v>2978</v>
      </c>
      <c r="D1231" s="6" t="s">
        <v>2979</v>
      </c>
      <c r="E1231" s="6" t="s">
        <v>2980</v>
      </c>
      <c r="F1231" s="6" t="s">
        <v>16</v>
      </c>
      <c r="G1231" s="6"/>
      <c r="H1231" s="6" t="s">
        <v>33</v>
      </c>
      <c r="I1231" s="7" t="n">
        <v>37773</v>
      </c>
      <c r="J1231" s="6" t="s">
        <v>19</v>
      </c>
      <c r="K1231" s="6" t="s">
        <v>1950</v>
      </c>
    </row>
    <row r="1232" customFormat="false" ht="12.8" hidden="false" customHeight="false" outlineLevel="0" collapsed="false">
      <c r="A1232" s="6" t="str">
        <f aca="false">HYPERLINK("https://www.fabsurplus.com/sdi_catalog/salesItemDetails.do?id=98534")</f>
        <v>https://www.fabsurplus.com/sdi_catalog/salesItemDetails.do?id=98534</v>
      </c>
      <c r="B1232" s="6" t="s">
        <v>2981</v>
      </c>
      <c r="C1232" s="6" t="s">
        <v>2978</v>
      </c>
      <c r="D1232" s="6" t="s">
        <v>2982</v>
      </c>
      <c r="E1232" s="6" t="s">
        <v>2980</v>
      </c>
      <c r="F1232" s="6" t="s">
        <v>16</v>
      </c>
      <c r="G1232" s="6"/>
      <c r="H1232" s="6"/>
      <c r="I1232" s="7" t="n">
        <v>38139</v>
      </c>
      <c r="J1232" s="6" t="s">
        <v>19</v>
      </c>
      <c r="K1232" s="6"/>
    </row>
    <row r="1233" customFormat="false" ht="12.8" hidden="false" customHeight="false" outlineLevel="0" collapsed="false">
      <c r="A1233" s="6" t="str">
        <f aca="false">HYPERLINK("https://www.fabsurplus.com/sdi_catalog/salesItemDetails.do?id=99274")</f>
        <v>https://www.fabsurplus.com/sdi_catalog/salesItemDetails.do?id=99274</v>
      </c>
      <c r="B1233" s="6" t="s">
        <v>2983</v>
      </c>
      <c r="C1233" s="6" t="s">
        <v>2978</v>
      </c>
      <c r="D1233" s="6" t="s">
        <v>2984</v>
      </c>
      <c r="E1233" s="6" t="s">
        <v>2980</v>
      </c>
      <c r="F1233" s="6" t="s">
        <v>16</v>
      </c>
      <c r="G1233" s="6"/>
      <c r="H1233" s="6" t="s">
        <v>18</v>
      </c>
      <c r="I1233" s="7" t="n">
        <v>35582</v>
      </c>
      <c r="J1233" s="6"/>
      <c r="K1233" s="6"/>
    </row>
    <row r="1234" customFormat="false" ht="12.8" hidden="false" customHeight="false" outlineLevel="0" collapsed="false">
      <c r="A1234" s="8" t="str">
        <f aca="false">HYPERLINK("https://www.fabsurplus.com/sdi_catalog/salesItemDetails.do?id=98535")</f>
        <v>https://www.fabsurplus.com/sdi_catalog/salesItemDetails.do?id=98535</v>
      </c>
      <c r="B1234" s="8" t="s">
        <v>2985</v>
      </c>
      <c r="C1234" s="8" t="s">
        <v>2978</v>
      </c>
      <c r="D1234" s="8" t="s">
        <v>2986</v>
      </c>
      <c r="E1234" s="8" t="s">
        <v>2980</v>
      </c>
      <c r="F1234" s="8" t="s">
        <v>16</v>
      </c>
      <c r="G1234" s="8"/>
      <c r="H1234" s="8" t="s">
        <v>33</v>
      </c>
      <c r="I1234" s="9" t="n">
        <v>39600</v>
      </c>
      <c r="J1234" s="8" t="s">
        <v>19</v>
      </c>
      <c r="K1234" s="8" t="s">
        <v>20</v>
      </c>
    </row>
    <row r="1235" customFormat="false" ht="12.8" hidden="false" customHeight="false" outlineLevel="0" collapsed="false">
      <c r="A1235" s="6" t="str">
        <f aca="false">HYPERLINK("https://www.fabsurplus.com/sdi_catalog/salesItemDetails.do?id=98536")</f>
        <v>https://www.fabsurplus.com/sdi_catalog/salesItemDetails.do?id=98536</v>
      </c>
      <c r="B1235" s="6" t="s">
        <v>2987</v>
      </c>
      <c r="C1235" s="6" t="s">
        <v>2978</v>
      </c>
      <c r="D1235" s="6" t="s">
        <v>2988</v>
      </c>
      <c r="E1235" s="6" t="s">
        <v>2980</v>
      </c>
      <c r="F1235" s="6" t="s">
        <v>16</v>
      </c>
      <c r="G1235" s="6"/>
      <c r="H1235" s="6" t="s">
        <v>18</v>
      </c>
      <c r="I1235" s="7" t="n">
        <v>37043</v>
      </c>
      <c r="J1235" s="6" t="s">
        <v>19</v>
      </c>
      <c r="K1235" s="6"/>
    </row>
    <row r="1236" customFormat="false" ht="12.8" hidden="false" customHeight="false" outlineLevel="0" collapsed="false">
      <c r="A1236" s="8" t="str">
        <f aca="false">HYPERLINK("https://www.fabsurplus.com/sdi_catalog/salesItemDetails.do?id=98537")</f>
        <v>https://www.fabsurplus.com/sdi_catalog/salesItemDetails.do?id=98537</v>
      </c>
      <c r="B1236" s="8" t="s">
        <v>2989</v>
      </c>
      <c r="C1236" s="8" t="s">
        <v>2978</v>
      </c>
      <c r="D1236" s="8" t="s">
        <v>2990</v>
      </c>
      <c r="E1236" s="8" t="s">
        <v>2980</v>
      </c>
      <c r="F1236" s="8" t="s">
        <v>16</v>
      </c>
      <c r="G1236" s="8"/>
      <c r="H1236" s="8"/>
      <c r="I1236" s="9" t="n">
        <v>39234</v>
      </c>
      <c r="J1236" s="8" t="s">
        <v>19</v>
      </c>
      <c r="K1236" s="8"/>
    </row>
    <row r="1237" customFormat="false" ht="12.8" hidden="false" customHeight="false" outlineLevel="0" collapsed="false">
      <c r="A1237" s="6" t="str">
        <f aca="false">HYPERLINK("https://www.fabsurplus.com/sdi_catalog/salesItemDetails.do?id=98538")</f>
        <v>https://www.fabsurplus.com/sdi_catalog/salesItemDetails.do?id=98538</v>
      </c>
      <c r="B1237" s="6" t="s">
        <v>2991</v>
      </c>
      <c r="C1237" s="6" t="s">
        <v>2978</v>
      </c>
      <c r="D1237" s="6" t="s">
        <v>2992</v>
      </c>
      <c r="E1237" s="6" t="s">
        <v>2980</v>
      </c>
      <c r="F1237" s="6" t="s">
        <v>16</v>
      </c>
      <c r="G1237" s="6"/>
      <c r="H1237" s="6"/>
      <c r="I1237" s="7" t="n">
        <v>38504</v>
      </c>
      <c r="J1237" s="6" t="s">
        <v>19</v>
      </c>
      <c r="K1237" s="6"/>
    </row>
    <row r="1238" customFormat="false" ht="12.8" hidden="false" customHeight="false" outlineLevel="0" collapsed="false">
      <c r="A1238" s="8" t="str">
        <f aca="false">HYPERLINK("https://www.fabsurplus.com/sdi_catalog/salesItemDetails.do?id=98539")</f>
        <v>https://www.fabsurplus.com/sdi_catalog/salesItemDetails.do?id=98539</v>
      </c>
      <c r="B1238" s="8" t="s">
        <v>2993</v>
      </c>
      <c r="C1238" s="8" t="s">
        <v>2978</v>
      </c>
      <c r="D1238" s="8" t="s">
        <v>2994</v>
      </c>
      <c r="E1238" s="8" t="s">
        <v>2980</v>
      </c>
      <c r="F1238" s="8" t="s">
        <v>16</v>
      </c>
      <c r="G1238" s="8"/>
      <c r="H1238" s="8" t="s">
        <v>18</v>
      </c>
      <c r="I1238" s="9" t="n">
        <v>35582</v>
      </c>
      <c r="J1238" s="8" t="s">
        <v>19</v>
      </c>
      <c r="K1238" s="8" t="s">
        <v>20</v>
      </c>
    </row>
    <row r="1239" customFormat="false" ht="12.8" hidden="false" customHeight="false" outlineLevel="0" collapsed="false">
      <c r="A1239" s="6" t="str">
        <f aca="false">HYPERLINK("https://www.fabsurplus.com/sdi_catalog/salesItemDetails.do?id=97110")</f>
        <v>https://www.fabsurplus.com/sdi_catalog/salesItemDetails.do?id=97110</v>
      </c>
      <c r="B1239" s="6" t="s">
        <v>2995</v>
      </c>
      <c r="C1239" s="6" t="s">
        <v>2978</v>
      </c>
      <c r="D1239" s="6" t="s">
        <v>2996</v>
      </c>
      <c r="E1239" s="6" t="s">
        <v>2980</v>
      </c>
      <c r="F1239" s="6" t="s">
        <v>16</v>
      </c>
      <c r="G1239" s="6" t="s">
        <v>2997</v>
      </c>
      <c r="H1239" s="6"/>
      <c r="I1239" s="7" t="n">
        <v>41426</v>
      </c>
      <c r="J1239" s="6"/>
      <c r="K1239" s="6"/>
    </row>
    <row r="1240" customFormat="false" ht="12.8" hidden="false" customHeight="false" outlineLevel="0" collapsed="false">
      <c r="A1240" s="8" t="str">
        <f aca="false">HYPERLINK("https://www.fabsurplus.com/sdi_catalog/salesItemDetails.do?id=97452")</f>
        <v>https://www.fabsurplus.com/sdi_catalog/salesItemDetails.do?id=97452</v>
      </c>
      <c r="B1240" s="8" t="s">
        <v>2998</v>
      </c>
      <c r="C1240" s="8" t="s">
        <v>2978</v>
      </c>
      <c r="D1240" s="8" t="s">
        <v>2999</v>
      </c>
      <c r="E1240" s="8" t="s">
        <v>2980</v>
      </c>
      <c r="F1240" s="8" t="s">
        <v>16</v>
      </c>
      <c r="G1240" s="8" t="s">
        <v>3000</v>
      </c>
      <c r="H1240" s="8" t="s">
        <v>33</v>
      </c>
      <c r="I1240" s="9" t="n">
        <v>41791</v>
      </c>
      <c r="J1240" s="8" t="s">
        <v>19</v>
      </c>
      <c r="K1240" s="8" t="s">
        <v>20</v>
      </c>
    </row>
    <row r="1241" customFormat="false" ht="12.8" hidden="false" customHeight="false" outlineLevel="0" collapsed="false">
      <c r="A1241" s="8" t="str">
        <f aca="false">HYPERLINK("https://www.fabsurplus.com/sdi_catalog/salesItemDetails.do?id=99286")</f>
        <v>https://www.fabsurplus.com/sdi_catalog/salesItemDetails.do?id=99286</v>
      </c>
      <c r="B1241" s="8" t="s">
        <v>3001</v>
      </c>
      <c r="C1241" s="8" t="s">
        <v>2978</v>
      </c>
      <c r="D1241" s="8" t="s">
        <v>3002</v>
      </c>
      <c r="E1241" s="8" t="s">
        <v>2980</v>
      </c>
      <c r="F1241" s="8" t="s">
        <v>16</v>
      </c>
      <c r="G1241" s="8"/>
      <c r="H1241" s="8" t="s">
        <v>18</v>
      </c>
      <c r="I1241" s="9" t="n">
        <v>40695</v>
      </c>
      <c r="J1241" s="8" t="s">
        <v>81</v>
      </c>
      <c r="K1241" s="8" t="s">
        <v>20</v>
      </c>
    </row>
    <row r="1242" customFormat="false" ht="12.8" hidden="false" customHeight="false" outlineLevel="0" collapsed="false">
      <c r="A1242" s="6" t="str">
        <f aca="false">HYPERLINK("https://www.fabsurplus.com/sdi_catalog/salesItemDetails.do?id=98541")</f>
        <v>https://www.fabsurplus.com/sdi_catalog/salesItemDetails.do?id=98541</v>
      </c>
      <c r="B1242" s="6" t="s">
        <v>3003</v>
      </c>
      <c r="C1242" s="6" t="s">
        <v>2978</v>
      </c>
      <c r="D1242" s="6" t="s">
        <v>3002</v>
      </c>
      <c r="E1242" s="6" t="s">
        <v>2980</v>
      </c>
      <c r="F1242" s="6" t="s">
        <v>16</v>
      </c>
      <c r="G1242" s="6"/>
      <c r="H1242" s="6"/>
      <c r="I1242" s="7" t="n">
        <v>40695</v>
      </c>
      <c r="J1242" s="6" t="s">
        <v>19</v>
      </c>
      <c r="K1242" s="6"/>
    </row>
    <row r="1243" customFormat="false" ht="12.8" hidden="false" customHeight="false" outlineLevel="0" collapsed="false">
      <c r="A1243" s="8" t="str">
        <f aca="false">HYPERLINK("https://www.fabsurplus.com/sdi_catalog/salesItemDetails.do?id=97111")</f>
        <v>https://www.fabsurplus.com/sdi_catalog/salesItemDetails.do?id=97111</v>
      </c>
      <c r="B1243" s="8" t="s">
        <v>3004</v>
      </c>
      <c r="C1243" s="8" t="s">
        <v>3005</v>
      </c>
      <c r="D1243" s="8" t="s">
        <v>3006</v>
      </c>
      <c r="E1243" s="8" t="s">
        <v>2980</v>
      </c>
      <c r="F1243" s="8" t="s">
        <v>16</v>
      </c>
      <c r="G1243" s="8" t="s">
        <v>2997</v>
      </c>
      <c r="H1243" s="8" t="s">
        <v>18</v>
      </c>
      <c r="I1243" s="9" t="n">
        <v>31929</v>
      </c>
      <c r="J1243" s="8"/>
      <c r="K1243" s="8"/>
    </row>
    <row r="1244" customFormat="false" ht="12.8" hidden="false" customHeight="false" outlineLevel="0" collapsed="false">
      <c r="A1244" s="6" t="str">
        <f aca="false">HYPERLINK("https://www.fabsurplus.com/sdi_catalog/salesItemDetails.do?id=97114")</f>
        <v>https://www.fabsurplus.com/sdi_catalog/salesItemDetails.do?id=97114</v>
      </c>
      <c r="B1244" s="6" t="s">
        <v>3007</v>
      </c>
      <c r="C1244" s="6" t="s">
        <v>3005</v>
      </c>
      <c r="D1244" s="6" t="s">
        <v>3008</v>
      </c>
      <c r="E1244" s="6" t="s">
        <v>2980</v>
      </c>
      <c r="F1244" s="6" t="s">
        <v>16</v>
      </c>
      <c r="G1244" s="6" t="s">
        <v>2997</v>
      </c>
      <c r="H1244" s="6" t="s">
        <v>33</v>
      </c>
      <c r="I1244" s="7" t="n">
        <v>33025</v>
      </c>
      <c r="J1244" s="6" t="s">
        <v>19</v>
      </c>
      <c r="K1244" s="6" t="s">
        <v>20</v>
      </c>
    </row>
    <row r="1245" customFormat="false" ht="12.8" hidden="false" customHeight="false" outlineLevel="0" collapsed="false">
      <c r="A1245" s="8" t="str">
        <f aca="false">HYPERLINK("https://www.fabsurplus.com/sdi_catalog/salesItemDetails.do?id=97119")</f>
        <v>https://www.fabsurplus.com/sdi_catalog/salesItemDetails.do?id=97119</v>
      </c>
      <c r="B1245" s="8" t="s">
        <v>3009</v>
      </c>
      <c r="C1245" s="8" t="s">
        <v>3005</v>
      </c>
      <c r="D1245" s="8" t="s">
        <v>3010</v>
      </c>
      <c r="E1245" s="8" t="s">
        <v>2980</v>
      </c>
      <c r="F1245" s="8" t="s">
        <v>16</v>
      </c>
      <c r="G1245" s="8" t="s">
        <v>2997</v>
      </c>
      <c r="H1245" s="8"/>
      <c r="I1245" s="9" t="n">
        <v>38139</v>
      </c>
      <c r="J1245" s="8"/>
      <c r="K1245" s="8"/>
    </row>
    <row r="1246" customFormat="false" ht="12.8" hidden="false" customHeight="false" outlineLevel="0" collapsed="false">
      <c r="A1246" s="8" t="str">
        <f aca="false">HYPERLINK("https://www.fabsurplus.com/sdi_catalog/salesItemDetails.do?id=97115")</f>
        <v>https://www.fabsurplus.com/sdi_catalog/salesItemDetails.do?id=97115</v>
      </c>
      <c r="B1246" s="8" t="s">
        <v>3011</v>
      </c>
      <c r="C1246" s="8" t="s">
        <v>3005</v>
      </c>
      <c r="D1246" s="8" t="s">
        <v>3012</v>
      </c>
      <c r="E1246" s="8" t="s">
        <v>2980</v>
      </c>
      <c r="F1246" s="8" t="s">
        <v>16</v>
      </c>
      <c r="G1246" s="8" t="s">
        <v>2997</v>
      </c>
      <c r="H1246" s="8"/>
      <c r="I1246" s="9" t="n">
        <v>37773</v>
      </c>
      <c r="J1246" s="8"/>
      <c r="K1246" s="8"/>
    </row>
    <row r="1247" customFormat="false" ht="12.8" hidden="false" customHeight="false" outlineLevel="0" collapsed="false">
      <c r="A1247" s="6" t="str">
        <f aca="false">HYPERLINK("https://www.fabsurplus.com/sdi_catalog/salesItemDetails.do?id=97116")</f>
        <v>https://www.fabsurplus.com/sdi_catalog/salesItemDetails.do?id=97116</v>
      </c>
      <c r="B1247" s="6" t="s">
        <v>3013</v>
      </c>
      <c r="C1247" s="6" t="s">
        <v>3005</v>
      </c>
      <c r="D1247" s="6" t="s">
        <v>3014</v>
      </c>
      <c r="E1247" s="6" t="s">
        <v>2980</v>
      </c>
      <c r="F1247" s="6" t="s">
        <v>16</v>
      </c>
      <c r="G1247" s="6" t="s">
        <v>2997</v>
      </c>
      <c r="H1247" s="6"/>
      <c r="I1247" s="7" t="n">
        <v>38869</v>
      </c>
      <c r="J1247" s="6"/>
      <c r="K1247" s="6"/>
    </row>
    <row r="1248" customFormat="false" ht="12.8" hidden="false" customHeight="false" outlineLevel="0" collapsed="false">
      <c r="A1248" s="8" t="str">
        <f aca="false">HYPERLINK("https://www.fabsurplus.com/sdi_catalog/salesItemDetails.do?id=97087")</f>
        <v>https://www.fabsurplus.com/sdi_catalog/salesItemDetails.do?id=97087</v>
      </c>
      <c r="B1248" s="8" t="s">
        <v>3015</v>
      </c>
      <c r="C1248" s="8" t="s">
        <v>3005</v>
      </c>
      <c r="D1248" s="8" t="s">
        <v>3016</v>
      </c>
      <c r="E1248" s="8" t="s">
        <v>2980</v>
      </c>
      <c r="F1248" s="8" t="s">
        <v>16</v>
      </c>
      <c r="G1248" s="8" t="s">
        <v>2997</v>
      </c>
      <c r="H1248" s="8" t="s">
        <v>311</v>
      </c>
      <c r="I1248" s="9" t="n">
        <v>38869</v>
      </c>
      <c r="J1248" s="8" t="s">
        <v>81</v>
      </c>
      <c r="K1248" s="8" t="s">
        <v>20</v>
      </c>
    </row>
    <row r="1249" customFormat="false" ht="12.8" hidden="false" customHeight="false" outlineLevel="0" collapsed="false">
      <c r="A1249" s="8" t="str">
        <f aca="false">HYPERLINK("https://www.fabsurplus.com/sdi_catalog/salesItemDetails.do?id=97089")</f>
        <v>https://www.fabsurplus.com/sdi_catalog/salesItemDetails.do?id=97089</v>
      </c>
      <c r="B1249" s="8" t="s">
        <v>3017</v>
      </c>
      <c r="C1249" s="8" t="s">
        <v>3005</v>
      </c>
      <c r="D1249" s="8" t="s">
        <v>3018</v>
      </c>
      <c r="E1249" s="8" t="s">
        <v>2980</v>
      </c>
      <c r="F1249" s="8" t="s">
        <v>16</v>
      </c>
      <c r="G1249" s="8" t="s">
        <v>2997</v>
      </c>
      <c r="H1249" s="8" t="s">
        <v>33</v>
      </c>
      <c r="I1249" s="9" t="n">
        <v>40695</v>
      </c>
      <c r="J1249" s="8" t="s">
        <v>81</v>
      </c>
      <c r="K1249" s="8" t="s">
        <v>20</v>
      </c>
    </row>
    <row r="1250" customFormat="false" ht="12.8" hidden="false" customHeight="false" outlineLevel="0" collapsed="false">
      <c r="A1250" s="8" t="str">
        <f aca="false">HYPERLINK("https://www.fabsurplus.com/sdi_catalog/salesItemDetails.do?id=97139")</f>
        <v>https://www.fabsurplus.com/sdi_catalog/salesItemDetails.do?id=97139</v>
      </c>
      <c r="B1250" s="8" t="s">
        <v>3019</v>
      </c>
      <c r="C1250" s="8" t="s">
        <v>3005</v>
      </c>
      <c r="D1250" s="8" t="s">
        <v>3020</v>
      </c>
      <c r="E1250" s="8" t="s">
        <v>2980</v>
      </c>
      <c r="F1250" s="8" t="s">
        <v>16</v>
      </c>
      <c r="G1250" s="8" t="s">
        <v>2997</v>
      </c>
      <c r="H1250" s="8"/>
      <c r="I1250" s="9" t="n">
        <v>37408</v>
      </c>
      <c r="J1250" s="8"/>
      <c r="K1250" s="8"/>
    </row>
    <row r="1251" customFormat="false" ht="12.8" hidden="false" customHeight="false" outlineLevel="0" collapsed="false">
      <c r="A1251" s="6" t="str">
        <f aca="false">HYPERLINK("https://www.fabsurplus.com/sdi_catalog/salesItemDetails.do?id=97090")</f>
        <v>https://www.fabsurplus.com/sdi_catalog/salesItemDetails.do?id=97090</v>
      </c>
      <c r="B1251" s="6" t="s">
        <v>3021</v>
      </c>
      <c r="C1251" s="6" t="s">
        <v>3005</v>
      </c>
      <c r="D1251" s="6" t="s">
        <v>3022</v>
      </c>
      <c r="E1251" s="6" t="s">
        <v>2980</v>
      </c>
      <c r="F1251" s="6" t="s">
        <v>16</v>
      </c>
      <c r="G1251" s="6" t="s">
        <v>2997</v>
      </c>
      <c r="H1251" s="6" t="s">
        <v>33</v>
      </c>
      <c r="I1251" s="7" t="n">
        <v>36678</v>
      </c>
      <c r="J1251" s="6" t="s">
        <v>81</v>
      </c>
      <c r="K1251" s="6" t="s">
        <v>20</v>
      </c>
    </row>
    <row r="1252" customFormat="false" ht="12.8" hidden="false" customHeight="false" outlineLevel="0" collapsed="false">
      <c r="A1252" s="6" t="str">
        <f aca="false">HYPERLINK("https://www.fabsurplus.com/sdi_catalog/salesItemDetails.do?id=97088")</f>
        <v>https://www.fabsurplus.com/sdi_catalog/salesItemDetails.do?id=97088</v>
      </c>
      <c r="B1252" s="6" t="s">
        <v>3023</v>
      </c>
      <c r="C1252" s="6" t="s">
        <v>3005</v>
      </c>
      <c r="D1252" s="6" t="s">
        <v>3024</v>
      </c>
      <c r="E1252" s="6" t="s">
        <v>2980</v>
      </c>
      <c r="F1252" s="6" t="s">
        <v>16</v>
      </c>
      <c r="G1252" s="6" t="s">
        <v>2997</v>
      </c>
      <c r="H1252" s="6" t="s">
        <v>33</v>
      </c>
      <c r="I1252" s="7" t="n">
        <v>39234</v>
      </c>
      <c r="J1252" s="6" t="s">
        <v>81</v>
      </c>
      <c r="K1252" s="6" t="s">
        <v>20</v>
      </c>
    </row>
    <row r="1253" customFormat="false" ht="12.8" hidden="false" customHeight="false" outlineLevel="0" collapsed="false">
      <c r="A1253" s="6" t="str">
        <f aca="false">HYPERLINK("https://www.fabsurplus.com/sdi_catalog/salesItemDetails.do?id=97138")</f>
        <v>https://www.fabsurplus.com/sdi_catalog/salesItemDetails.do?id=97138</v>
      </c>
      <c r="B1253" s="6" t="s">
        <v>3025</v>
      </c>
      <c r="C1253" s="6" t="s">
        <v>3005</v>
      </c>
      <c r="D1253" s="6" t="s">
        <v>3026</v>
      </c>
      <c r="E1253" s="6" t="s">
        <v>2980</v>
      </c>
      <c r="F1253" s="6" t="s">
        <v>16</v>
      </c>
      <c r="G1253" s="6" t="s">
        <v>2997</v>
      </c>
      <c r="H1253" s="6"/>
      <c r="I1253" s="7" t="n">
        <v>35582</v>
      </c>
      <c r="J1253" s="6"/>
      <c r="K1253" s="6"/>
    </row>
    <row r="1254" customFormat="false" ht="12.8" hidden="false" customHeight="false" outlineLevel="0" collapsed="false">
      <c r="A1254" s="8" t="str">
        <f aca="false">HYPERLINK("https://www.fabsurplus.com/sdi_catalog/salesItemDetails.do?id=99836")</f>
        <v>https://www.fabsurplus.com/sdi_catalog/salesItemDetails.do?id=99836</v>
      </c>
      <c r="B1254" s="8" t="s">
        <v>3027</v>
      </c>
      <c r="C1254" s="8" t="s">
        <v>3005</v>
      </c>
      <c r="D1254" s="8" t="s">
        <v>3028</v>
      </c>
      <c r="E1254" s="8" t="s">
        <v>2980</v>
      </c>
      <c r="F1254" s="8" t="s">
        <v>16</v>
      </c>
      <c r="G1254" s="8" t="s">
        <v>2997</v>
      </c>
      <c r="H1254" s="8" t="s">
        <v>33</v>
      </c>
      <c r="I1254" s="9" t="n">
        <v>35947</v>
      </c>
      <c r="J1254" s="8" t="s">
        <v>19</v>
      </c>
      <c r="K1254" s="8" t="s">
        <v>20</v>
      </c>
    </row>
    <row r="1255" customFormat="false" ht="12.8" hidden="false" customHeight="false" outlineLevel="0" collapsed="false">
      <c r="A1255" s="6" t="str">
        <f aca="false">HYPERLINK("https://www.fabsurplus.com/sdi_catalog/salesItemDetails.do?id=97120")</f>
        <v>https://www.fabsurplus.com/sdi_catalog/salesItemDetails.do?id=97120</v>
      </c>
      <c r="B1255" s="6" t="s">
        <v>3029</v>
      </c>
      <c r="C1255" s="6" t="s">
        <v>3005</v>
      </c>
      <c r="D1255" s="6" t="s">
        <v>3030</v>
      </c>
      <c r="E1255" s="6" t="s">
        <v>2980</v>
      </c>
      <c r="F1255" s="6" t="s">
        <v>16</v>
      </c>
      <c r="G1255" s="6" t="s">
        <v>2997</v>
      </c>
      <c r="H1255" s="6" t="s">
        <v>33</v>
      </c>
      <c r="I1255" s="7" t="n">
        <v>37773</v>
      </c>
      <c r="J1255" s="6" t="s">
        <v>19</v>
      </c>
      <c r="K1255" s="6" t="s">
        <v>20</v>
      </c>
    </row>
    <row r="1256" customFormat="false" ht="12.8" hidden="false" customHeight="false" outlineLevel="0" collapsed="false">
      <c r="A1256" s="8" t="str">
        <f aca="false">HYPERLINK("https://www.fabsurplus.com/sdi_catalog/salesItemDetails.do?id=97122")</f>
        <v>https://www.fabsurplus.com/sdi_catalog/salesItemDetails.do?id=97122</v>
      </c>
      <c r="B1256" s="8" t="s">
        <v>3031</v>
      </c>
      <c r="C1256" s="8" t="s">
        <v>3005</v>
      </c>
      <c r="D1256" s="8" t="s">
        <v>3032</v>
      </c>
      <c r="E1256" s="8" t="s">
        <v>2980</v>
      </c>
      <c r="F1256" s="8" t="s">
        <v>16</v>
      </c>
      <c r="G1256" s="8" t="s">
        <v>2997</v>
      </c>
      <c r="H1256" s="8"/>
      <c r="I1256" s="9" t="n">
        <v>38504</v>
      </c>
      <c r="J1256" s="8"/>
      <c r="K1256" s="8"/>
    </row>
    <row r="1257" customFormat="false" ht="12.8" hidden="false" customHeight="false" outlineLevel="0" collapsed="false">
      <c r="A1257" s="6" t="str">
        <f aca="false">HYPERLINK("https://www.fabsurplus.com/sdi_catalog/salesItemDetails.do?id=97124")</f>
        <v>https://www.fabsurplus.com/sdi_catalog/salesItemDetails.do?id=97124</v>
      </c>
      <c r="B1257" s="6" t="s">
        <v>3033</v>
      </c>
      <c r="C1257" s="6" t="s">
        <v>3005</v>
      </c>
      <c r="D1257" s="6" t="s">
        <v>3034</v>
      </c>
      <c r="E1257" s="6" t="s">
        <v>2980</v>
      </c>
      <c r="F1257" s="6" t="s">
        <v>16</v>
      </c>
      <c r="G1257" s="6" t="s">
        <v>2997</v>
      </c>
      <c r="H1257" s="6"/>
      <c r="I1257" s="7" t="n">
        <v>35217</v>
      </c>
      <c r="J1257" s="6"/>
      <c r="K1257" s="6"/>
    </row>
    <row r="1258" customFormat="false" ht="12.8" hidden="false" customHeight="false" outlineLevel="0" collapsed="false">
      <c r="A1258" s="8" t="str">
        <f aca="false">HYPERLINK("https://www.fabsurplus.com/sdi_catalog/salesItemDetails.do?id=97125")</f>
        <v>https://www.fabsurplus.com/sdi_catalog/salesItemDetails.do?id=97125</v>
      </c>
      <c r="B1258" s="8" t="s">
        <v>3035</v>
      </c>
      <c r="C1258" s="8" t="s">
        <v>3005</v>
      </c>
      <c r="D1258" s="8" t="s">
        <v>3036</v>
      </c>
      <c r="E1258" s="8" t="s">
        <v>2980</v>
      </c>
      <c r="F1258" s="8" t="s">
        <v>16</v>
      </c>
      <c r="G1258" s="8" t="s">
        <v>2997</v>
      </c>
      <c r="H1258" s="8"/>
      <c r="I1258" s="9" t="n">
        <v>40330</v>
      </c>
      <c r="J1258" s="8"/>
      <c r="K1258" s="8"/>
    </row>
    <row r="1259" customFormat="false" ht="12.8" hidden="false" customHeight="false" outlineLevel="0" collapsed="false">
      <c r="A1259" s="6" t="str">
        <f aca="false">HYPERLINK("https://www.fabsurplus.com/sdi_catalog/salesItemDetails.do?id=97126")</f>
        <v>https://www.fabsurplus.com/sdi_catalog/salesItemDetails.do?id=97126</v>
      </c>
      <c r="B1259" s="6" t="s">
        <v>3037</v>
      </c>
      <c r="C1259" s="6" t="s">
        <v>3005</v>
      </c>
      <c r="D1259" s="6" t="s">
        <v>3038</v>
      </c>
      <c r="E1259" s="6" t="s">
        <v>2980</v>
      </c>
      <c r="F1259" s="6" t="s">
        <v>16</v>
      </c>
      <c r="G1259" s="6" t="s">
        <v>2997</v>
      </c>
      <c r="H1259" s="6" t="s">
        <v>33</v>
      </c>
      <c r="I1259" s="7" t="n">
        <v>39965</v>
      </c>
      <c r="J1259" s="6" t="s">
        <v>81</v>
      </c>
      <c r="K1259" s="6"/>
    </row>
    <row r="1260" customFormat="false" ht="12.8" hidden="false" customHeight="false" outlineLevel="0" collapsed="false">
      <c r="A1260" s="8" t="str">
        <f aca="false">HYPERLINK("https://www.fabsurplus.com/sdi_catalog/salesItemDetails.do?id=97127")</f>
        <v>https://www.fabsurplus.com/sdi_catalog/salesItemDetails.do?id=97127</v>
      </c>
      <c r="B1260" s="8" t="s">
        <v>3039</v>
      </c>
      <c r="C1260" s="8" t="s">
        <v>3005</v>
      </c>
      <c r="D1260" s="8" t="s">
        <v>3040</v>
      </c>
      <c r="E1260" s="8" t="s">
        <v>2980</v>
      </c>
      <c r="F1260" s="8" t="s">
        <v>16</v>
      </c>
      <c r="G1260" s="8" t="s">
        <v>2997</v>
      </c>
      <c r="H1260" s="8"/>
      <c r="I1260" s="9" t="n">
        <v>37408</v>
      </c>
      <c r="J1260" s="8"/>
      <c r="K1260" s="8"/>
    </row>
    <row r="1261" customFormat="false" ht="12.8" hidden="false" customHeight="false" outlineLevel="0" collapsed="false">
      <c r="A1261" s="6" t="str">
        <f aca="false">HYPERLINK("https://www.fabsurplus.com/sdi_catalog/salesItemDetails.do?id=99835")</f>
        <v>https://www.fabsurplus.com/sdi_catalog/salesItemDetails.do?id=99835</v>
      </c>
      <c r="B1261" s="6" t="s">
        <v>3041</v>
      </c>
      <c r="C1261" s="6" t="s">
        <v>3005</v>
      </c>
      <c r="D1261" s="6" t="s">
        <v>3042</v>
      </c>
      <c r="E1261" s="6" t="s">
        <v>2980</v>
      </c>
      <c r="F1261" s="6" t="s">
        <v>16</v>
      </c>
      <c r="G1261" s="6" t="s">
        <v>2997</v>
      </c>
      <c r="H1261" s="6" t="s">
        <v>33</v>
      </c>
      <c r="I1261" s="7" t="n">
        <v>39965</v>
      </c>
      <c r="J1261" s="6" t="s">
        <v>19</v>
      </c>
      <c r="K1261" s="6" t="s">
        <v>20</v>
      </c>
    </row>
    <row r="1262" customFormat="false" ht="12.8" hidden="false" customHeight="false" outlineLevel="0" collapsed="false">
      <c r="A1262" s="8" t="str">
        <f aca="false">HYPERLINK("https://www.fabsurplus.com/sdi_catalog/salesItemDetails.do?id=99834")</f>
        <v>https://www.fabsurplus.com/sdi_catalog/salesItemDetails.do?id=99834</v>
      </c>
      <c r="B1262" s="8" t="s">
        <v>3043</v>
      </c>
      <c r="C1262" s="8" t="s">
        <v>3005</v>
      </c>
      <c r="D1262" s="8" t="s">
        <v>3044</v>
      </c>
      <c r="E1262" s="8" t="s">
        <v>2980</v>
      </c>
      <c r="F1262" s="8" t="s">
        <v>16</v>
      </c>
      <c r="G1262" s="8" t="s">
        <v>2997</v>
      </c>
      <c r="H1262" s="8" t="s">
        <v>33</v>
      </c>
      <c r="I1262" s="9" t="n">
        <v>36770</v>
      </c>
      <c r="J1262" s="8" t="s">
        <v>19</v>
      </c>
      <c r="K1262" s="8" t="s">
        <v>20</v>
      </c>
    </row>
    <row r="1263" customFormat="false" ht="12.8" hidden="false" customHeight="false" outlineLevel="0" collapsed="false">
      <c r="A1263" s="6" t="str">
        <f aca="false">HYPERLINK("https://www.fabsurplus.com/sdi_catalog/salesItemDetails.do?id=97128")</f>
        <v>https://www.fabsurplus.com/sdi_catalog/salesItemDetails.do?id=97128</v>
      </c>
      <c r="B1263" s="6" t="s">
        <v>3045</v>
      </c>
      <c r="C1263" s="6" t="s">
        <v>3005</v>
      </c>
      <c r="D1263" s="6" t="s">
        <v>3046</v>
      </c>
      <c r="E1263" s="6" t="s">
        <v>2980</v>
      </c>
      <c r="F1263" s="6" t="s">
        <v>16</v>
      </c>
      <c r="G1263" s="6" t="s">
        <v>2997</v>
      </c>
      <c r="H1263" s="6" t="s">
        <v>33</v>
      </c>
      <c r="I1263" s="7" t="n">
        <v>34851</v>
      </c>
      <c r="J1263" s="6"/>
      <c r="K1263" s="6" t="s">
        <v>20</v>
      </c>
    </row>
    <row r="1264" customFormat="false" ht="12.8" hidden="false" customHeight="false" outlineLevel="0" collapsed="false">
      <c r="A1264" s="8" t="str">
        <f aca="false">HYPERLINK("https://www.fabsurplus.com/sdi_catalog/salesItemDetails.do?id=97132")</f>
        <v>https://www.fabsurplus.com/sdi_catalog/salesItemDetails.do?id=97132</v>
      </c>
      <c r="B1264" s="8" t="s">
        <v>3047</v>
      </c>
      <c r="C1264" s="8" t="s">
        <v>3005</v>
      </c>
      <c r="D1264" s="8" t="s">
        <v>3048</v>
      </c>
      <c r="E1264" s="8" t="s">
        <v>2980</v>
      </c>
      <c r="F1264" s="8" t="s">
        <v>16</v>
      </c>
      <c r="G1264" s="8" t="s">
        <v>2997</v>
      </c>
      <c r="H1264" s="8"/>
      <c r="I1264" s="9" t="n">
        <v>37408</v>
      </c>
      <c r="J1264" s="8"/>
      <c r="K1264" s="8"/>
    </row>
    <row r="1265" customFormat="false" ht="12.8" hidden="false" customHeight="false" outlineLevel="0" collapsed="false">
      <c r="A1265" s="6" t="str">
        <f aca="false">HYPERLINK("https://www.fabsurplus.com/sdi_catalog/salesItemDetails.do?id=97133")</f>
        <v>https://www.fabsurplus.com/sdi_catalog/salesItemDetails.do?id=97133</v>
      </c>
      <c r="B1265" s="6" t="s">
        <v>3049</v>
      </c>
      <c r="C1265" s="6" t="s">
        <v>3005</v>
      </c>
      <c r="D1265" s="6" t="s">
        <v>3050</v>
      </c>
      <c r="E1265" s="6" t="s">
        <v>2980</v>
      </c>
      <c r="F1265" s="6" t="s">
        <v>16</v>
      </c>
      <c r="G1265" s="6" t="s">
        <v>2997</v>
      </c>
      <c r="H1265" s="6"/>
      <c r="I1265" s="7" t="n">
        <v>37408</v>
      </c>
      <c r="J1265" s="6"/>
      <c r="K1265" s="6"/>
    </row>
    <row r="1266" customFormat="false" ht="12.8" hidden="false" customHeight="false" outlineLevel="0" collapsed="false">
      <c r="A1266" s="8" t="str">
        <f aca="false">HYPERLINK("https://www.fabsurplus.com/sdi_catalog/salesItemDetails.do?id=97134")</f>
        <v>https://www.fabsurplus.com/sdi_catalog/salesItemDetails.do?id=97134</v>
      </c>
      <c r="B1266" s="8" t="s">
        <v>3051</v>
      </c>
      <c r="C1266" s="8" t="s">
        <v>3005</v>
      </c>
      <c r="D1266" s="8" t="s">
        <v>3052</v>
      </c>
      <c r="E1266" s="8" t="s">
        <v>2980</v>
      </c>
      <c r="F1266" s="8" t="s">
        <v>16</v>
      </c>
      <c r="G1266" s="8" t="s">
        <v>2997</v>
      </c>
      <c r="H1266" s="8"/>
      <c r="I1266" s="9" t="n">
        <v>38504</v>
      </c>
      <c r="J1266" s="8"/>
      <c r="K1266" s="8"/>
    </row>
    <row r="1267" customFormat="false" ht="12.8" hidden="false" customHeight="false" outlineLevel="0" collapsed="false">
      <c r="A1267" s="6" t="str">
        <f aca="false">HYPERLINK("https://www.fabsurplus.com/sdi_catalog/salesItemDetails.do?id=97140")</f>
        <v>https://www.fabsurplus.com/sdi_catalog/salesItemDetails.do?id=97140</v>
      </c>
      <c r="B1267" s="6" t="s">
        <v>3053</v>
      </c>
      <c r="C1267" s="6" t="s">
        <v>3005</v>
      </c>
      <c r="D1267" s="6" t="s">
        <v>3054</v>
      </c>
      <c r="E1267" s="6" t="s">
        <v>2980</v>
      </c>
      <c r="F1267" s="6" t="s">
        <v>16</v>
      </c>
      <c r="G1267" s="6" t="s">
        <v>2997</v>
      </c>
      <c r="H1267" s="6" t="s">
        <v>33</v>
      </c>
      <c r="I1267" s="7" t="n">
        <v>41791</v>
      </c>
      <c r="J1267" s="6" t="s">
        <v>19</v>
      </c>
      <c r="K1267" s="6" t="s">
        <v>20</v>
      </c>
    </row>
    <row r="1268" customFormat="false" ht="12.8" hidden="false" customHeight="false" outlineLevel="0" collapsed="false">
      <c r="A1268" s="8" t="str">
        <f aca="false">HYPERLINK("https://www.fabsurplus.com/sdi_catalog/salesItemDetails.do?id=97141")</f>
        <v>https://www.fabsurplus.com/sdi_catalog/salesItemDetails.do?id=97141</v>
      </c>
      <c r="B1268" s="8" t="s">
        <v>3055</v>
      </c>
      <c r="C1268" s="8" t="s">
        <v>3005</v>
      </c>
      <c r="D1268" s="8" t="s">
        <v>3056</v>
      </c>
      <c r="E1268" s="8" t="s">
        <v>2980</v>
      </c>
      <c r="F1268" s="8" t="s">
        <v>16</v>
      </c>
      <c r="G1268" s="8" t="s">
        <v>2997</v>
      </c>
      <c r="H1268" s="8"/>
      <c r="I1268" s="9" t="n">
        <v>41061</v>
      </c>
      <c r="J1268" s="8"/>
      <c r="K1268" s="8"/>
    </row>
    <row r="1269" customFormat="false" ht="12.8" hidden="false" customHeight="false" outlineLevel="0" collapsed="false">
      <c r="A1269" s="8" t="str">
        <f aca="false">HYPERLINK("https://www.fabsurplus.com/sdi_catalog/salesItemDetails.do?id=97143")</f>
        <v>https://www.fabsurplus.com/sdi_catalog/salesItemDetails.do?id=97143</v>
      </c>
      <c r="B1269" s="8" t="s">
        <v>3057</v>
      </c>
      <c r="C1269" s="8" t="s">
        <v>3005</v>
      </c>
      <c r="D1269" s="8" t="s">
        <v>3058</v>
      </c>
      <c r="E1269" s="8" t="s">
        <v>2980</v>
      </c>
      <c r="F1269" s="8" t="s">
        <v>16</v>
      </c>
      <c r="G1269" s="8" t="s">
        <v>2997</v>
      </c>
      <c r="H1269" s="8" t="s">
        <v>33</v>
      </c>
      <c r="I1269" s="9" t="n">
        <v>41061</v>
      </c>
      <c r="J1269" s="8" t="s">
        <v>19</v>
      </c>
      <c r="K1269" s="8" t="s">
        <v>20</v>
      </c>
    </row>
    <row r="1270" customFormat="false" ht="12.8" hidden="false" customHeight="false" outlineLevel="0" collapsed="false">
      <c r="A1270" s="6" t="str">
        <f aca="false">HYPERLINK("https://www.fabsurplus.com/sdi_catalog/salesItemDetails.do?id=97147")</f>
        <v>https://www.fabsurplus.com/sdi_catalog/salesItemDetails.do?id=97147</v>
      </c>
      <c r="B1270" s="6" t="s">
        <v>3059</v>
      </c>
      <c r="C1270" s="6" t="s">
        <v>3005</v>
      </c>
      <c r="D1270" s="6" t="s">
        <v>3060</v>
      </c>
      <c r="E1270" s="6" t="s">
        <v>2980</v>
      </c>
      <c r="F1270" s="6" t="s">
        <v>16</v>
      </c>
      <c r="G1270" s="6" t="s">
        <v>2997</v>
      </c>
      <c r="H1270" s="6"/>
      <c r="I1270" s="7" t="n">
        <v>40695</v>
      </c>
      <c r="J1270" s="6"/>
      <c r="K1270" s="6"/>
    </row>
    <row r="1271" customFormat="false" ht="12.8" hidden="false" customHeight="false" outlineLevel="0" collapsed="false">
      <c r="A1271" s="6" t="str">
        <f aca="false">HYPERLINK("https://www.fabsurplus.com/sdi_catalog/salesItemDetails.do?id=97144")</f>
        <v>https://www.fabsurplus.com/sdi_catalog/salesItemDetails.do?id=97144</v>
      </c>
      <c r="B1271" s="6" t="s">
        <v>3061</v>
      </c>
      <c r="C1271" s="6" t="s">
        <v>3005</v>
      </c>
      <c r="D1271" s="6" t="s">
        <v>3062</v>
      </c>
      <c r="E1271" s="6" t="s">
        <v>2980</v>
      </c>
      <c r="F1271" s="6" t="s">
        <v>16</v>
      </c>
      <c r="G1271" s="6" t="s">
        <v>2997</v>
      </c>
      <c r="H1271" s="6" t="s">
        <v>33</v>
      </c>
      <c r="I1271" s="7" t="n">
        <v>39234</v>
      </c>
      <c r="J1271" s="6"/>
      <c r="K1271" s="6" t="s">
        <v>20</v>
      </c>
    </row>
    <row r="1272" customFormat="false" ht="12.8" hidden="false" customHeight="false" outlineLevel="0" collapsed="false">
      <c r="A1272" s="8" t="str">
        <f aca="false">HYPERLINK("https://www.fabsurplus.com/sdi_catalog/salesItemDetails.do?id=97145")</f>
        <v>https://www.fabsurplus.com/sdi_catalog/salesItemDetails.do?id=97145</v>
      </c>
      <c r="B1272" s="8" t="s">
        <v>3063</v>
      </c>
      <c r="C1272" s="8" t="s">
        <v>3005</v>
      </c>
      <c r="D1272" s="8" t="s">
        <v>3064</v>
      </c>
      <c r="E1272" s="8" t="s">
        <v>2980</v>
      </c>
      <c r="F1272" s="8" t="s">
        <v>16</v>
      </c>
      <c r="G1272" s="8" t="s">
        <v>2997</v>
      </c>
      <c r="H1272" s="8"/>
      <c r="I1272" s="9" t="n">
        <v>38504</v>
      </c>
      <c r="J1272" s="8"/>
      <c r="K1272" s="8"/>
    </row>
    <row r="1273" customFormat="false" ht="12.8" hidden="false" customHeight="false" outlineLevel="0" collapsed="false">
      <c r="A1273" s="8" t="str">
        <f aca="false">HYPERLINK("https://www.fabsurplus.com/sdi_catalog/salesItemDetails.do?id=97091")</f>
        <v>https://www.fabsurplus.com/sdi_catalog/salesItemDetails.do?id=97091</v>
      </c>
      <c r="B1273" s="8" t="s">
        <v>3065</v>
      </c>
      <c r="C1273" s="8" t="s">
        <v>3005</v>
      </c>
      <c r="D1273" s="8" t="s">
        <v>3066</v>
      </c>
      <c r="E1273" s="8" t="s">
        <v>2980</v>
      </c>
      <c r="F1273" s="8" t="s">
        <v>16</v>
      </c>
      <c r="G1273" s="8" t="s">
        <v>2997</v>
      </c>
      <c r="H1273" s="8" t="s">
        <v>33</v>
      </c>
      <c r="I1273" s="9" t="n">
        <v>39234</v>
      </c>
      <c r="J1273" s="8" t="s">
        <v>81</v>
      </c>
      <c r="K1273" s="8" t="s">
        <v>20</v>
      </c>
    </row>
    <row r="1274" customFormat="false" ht="12.8" hidden="false" customHeight="false" outlineLevel="0" collapsed="false">
      <c r="A1274" s="6" t="str">
        <f aca="false">HYPERLINK("https://www.fabsurplus.com/sdi_catalog/salesItemDetails.do?id=100676")</f>
        <v>https://www.fabsurplus.com/sdi_catalog/salesItemDetails.do?id=100676</v>
      </c>
      <c r="B1274" s="6" t="s">
        <v>3067</v>
      </c>
      <c r="C1274" s="6" t="s">
        <v>3068</v>
      </c>
      <c r="D1274" s="6" t="s">
        <v>3069</v>
      </c>
      <c r="E1274" s="6" t="s">
        <v>3070</v>
      </c>
      <c r="F1274" s="6" t="s">
        <v>16</v>
      </c>
      <c r="G1274" s="6" t="s">
        <v>434</v>
      </c>
      <c r="H1274" s="6"/>
      <c r="I1274" s="6"/>
      <c r="J1274" s="6" t="s">
        <v>19</v>
      </c>
      <c r="K1274" s="6"/>
    </row>
    <row r="1275" customFormat="false" ht="12.8" hidden="false" customHeight="false" outlineLevel="0" collapsed="false">
      <c r="A1275" s="8" t="str">
        <f aca="false">HYPERLINK("https://www.fabsurplus.com/sdi_catalog/salesItemDetails.do?id=100695")</f>
        <v>https://www.fabsurplus.com/sdi_catalog/salesItemDetails.do?id=100695</v>
      </c>
      <c r="B1275" s="8" t="s">
        <v>3071</v>
      </c>
      <c r="C1275" s="8" t="s">
        <v>3072</v>
      </c>
      <c r="D1275" s="8" t="s">
        <v>3073</v>
      </c>
      <c r="E1275" s="8" t="s">
        <v>3074</v>
      </c>
      <c r="F1275" s="8" t="s">
        <v>16</v>
      </c>
      <c r="G1275" s="8" t="s">
        <v>310</v>
      </c>
      <c r="H1275" s="8"/>
      <c r="I1275" s="9" t="n">
        <v>39965</v>
      </c>
      <c r="J1275" s="8" t="s">
        <v>19</v>
      </c>
      <c r="K1275" s="8"/>
    </row>
    <row r="1276" customFormat="false" ht="12.8" hidden="false" customHeight="false" outlineLevel="0" collapsed="false">
      <c r="A1276" s="6" t="str">
        <f aca="false">HYPERLINK("https://www.fabsurplus.com/sdi_catalog/salesItemDetails.do?id=97859")</f>
        <v>https://www.fabsurplus.com/sdi_catalog/salesItemDetails.do?id=97859</v>
      </c>
      <c r="B1276" s="6" t="s">
        <v>3075</v>
      </c>
      <c r="C1276" s="6" t="s">
        <v>3076</v>
      </c>
      <c r="D1276" s="6" t="s">
        <v>3077</v>
      </c>
      <c r="E1276" s="6" t="s">
        <v>3078</v>
      </c>
      <c r="F1276" s="6" t="s">
        <v>16</v>
      </c>
      <c r="G1276" s="6"/>
      <c r="H1276" s="6"/>
      <c r="I1276" s="6"/>
      <c r="J1276" s="6" t="s">
        <v>19</v>
      </c>
      <c r="K1276" s="6"/>
    </row>
    <row r="1277" customFormat="false" ht="12.8" hidden="false" customHeight="false" outlineLevel="0" collapsed="false">
      <c r="A1277" s="6" t="str">
        <f aca="false">HYPERLINK("https://www.fabsurplus.com/sdi_catalog/salesItemDetails.do?id=98118")</f>
        <v>https://www.fabsurplus.com/sdi_catalog/salesItemDetails.do?id=98118</v>
      </c>
      <c r="B1277" s="6" t="s">
        <v>3079</v>
      </c>
      <c r="C1277" s="6" t="s">
        <v>3080</v>
      </c>
      <c r="D1277" s="6" t="s">
        <v>3081</v>
      </c>
      <c r="E1277" s="6" t="s">
        <v>3082</v>
      </c>
      <c r="F1277" s="6" t="s">
        <v>16</v>
      </c>
      <c r="G1277" s="6" t="s">
        <v>310</v>
      </c>
      <c r="H1277" s="6"/>
      <c r="I1277" s="6"/>
      <c r="J1277" s="6" t="s">
        <v>19</v>
      </c>
      <c r="K1277" s="6"/>
    </row>
    <row r="1278" customFormat="false" ht="12.8" hidden="false" customHeight="false" outlineLevel="0" collapsed="false">
      <c r="A1278" s="8" t="str">
        <f aca="false">HYPERLINK("https://www.fabsurplus.com/sdi_catalog/salesItemDetails.do?id=100355")</f>
        <v>https://www.fabsurplus.com/sdi_catalog/salesItemDetails.do?id=100355</v>
      </c>
      <c r="B1278" s="8" t="s">
        <v>3083</v>
      </c>
      <c r="C1278" s="8" t="s">
        <v>3084</v>
      </c>
      <c r="D1278" s="8" t="s">
        <v>3085</v>
      </c>
      <c r="E1278" s="8" t="s">
        <v>3086</v>
      </c>
      <c r="F1278" s="8" t="s">
        <v>16</v>
      </c>
      <c r="G1278" s="8"/>
      <c r="H1278" s="8" t="s">
        <v>18</v>
      </c>
      <c r="I1278" s="8"/>
      <c r="J1278" s="8" t="s">
        <v>19</v>
      </c>
      <c r="K1278" s="8"/>
    </row>
    <row r="1279" customFormat="false" ht="12.8" hidden="false" customHeight="false" outlineLevel="0" collapsed="false">
      <c r="A1279" s="8" t="str">
        <f aca="false">HYPERLINK("https://www.fabsurplus.com/sdi_catalog/salesItemDetails.do?id=98607")</f>
        <v>https://www.fabsurplus.com/sdi_catalog/salesItemDetails.do?id=98607</v>
      </c>
      <c r="B1279" s="8" t="s">
        <v>3087</v>
      </c>
      <c r="C1279" s="8" t="s">
        <v>3088</v>
      </c>
      <c r="D1279" s="8" t="s">
        <v>3089</v>
      </c>
      <c r="E1279" s="8" t="s">
        <v>3090</v>
      </c>
      <c r="F1279" s="8" t="s">
        <v>16</v>
      </c>
      <c r="G1279" s="8"/>
      <c r="H1279" s="8"/>
      <c r="I1279" s="8"/>
      <c r="J1279" s="8" t="s">
        <v>19</v>
      </c>
      <c r="K1279" s="8"/>
    </row>
    <row r="1280" customFormat="false" ht="12.8" hidden="false" customHeight="false" outlineLevel="0" collapsed="false">
      <c r="A1280" s="6" t="str">
        <f aca="false">HYPERLINK("https://www.fabsurplus.com/sdi_catalog/salesItemDetails.do?id=97070")</f>
        <v>https://www.fabsurplus.com/sdi_catalog/salesItemDetails.do?id=97070</v>
      </c>
      <c r="B1280" s="6" t="s">
        <v>3091</v>
      </c>
      <c r="C1280" s="6" t="s">
        <v>3092</v>
      </c>
      <c r="D1280" s="6" t="s">
        <v>3093</v>
      </c>
      <c r="E1280" s="6" t="s">
        <v>3094</v>
      </c>
      <c r="F1280" s="6" t="s">
        <v>16</v>
      </c>
      <c r="G1280" s="6" t="s">
        <v>162</v>
      </c>
      <c r="H1280" s="6" t="s">
        <v>33</v>
      </c>
      <c r="I1280" s="7" t="n">
        <v>38078</v>
      </c>
      <c r="J1280" s="6" t="s">
        <v>19</v>
      </c>
      <c r="K1280" s="6" t="s">
        <v>20</v>
      </c>
    </row>
    <row r="1281" customFormat="false" ht="12.8" hidden="false" customHeight="false" outlineLevel="0" collapsed="false">
      <c r="A1281" s="8" t="str">
        <f aca="false">HYPERLINK("https://www.fabsurplus.com/sdi_catalog/salesItemDetails.do?id=100162")</f>
        <v>https://www.fabsurplus.com/sdi_catalog/salesItemDetails.do?id=100162</v>
      </c>
      <c r="B1281" s="8" t="s">
        <v>3095</v>
      </c>
      <c r="C1281" s="8" t="s">
        <v>3092</v>
      </c>
      <c r="D1281" s="8" t="s">
        <v>3096</v>
      </c>
      <c r="E1281" s="8" t="s">
        <v>1801</v>
      </c>
      <c r="F1281" s="8" t="s">
        <v>16</v>
      </c>
      <c r="G1281" s="8" t="s">
        <v>686</v>
      </c>
      <c r="H1281" s="8"/>
      <c r="I1281" s="9" t="n">
        <v>41699</v>
      </c>
      <c r="J1281" s="8" t="s">
        <v>19</v>
      </c>
      <c r="K1281" s="8"/>
    </row>
    <row r="1282" customFormat="false" ht="12.8" hidden="false" customHeight="false" outlineLevel="0" collapsed="false">
      <c r="A1282" s="6" t="str">
        <f aca="false">HYPERLINK("https://www.fabsurplus.com/sdi_catalog/salesItemDetails.do?id=100161")</f>
        <v>https://www.fabsurplus.com/sdi_catalog/salesItemDetails.do?id=100161</v>
      </c>
      <c r="B1282" s="6" t="s">
        <v>3097</v>
      </c>
      <c r="C1282" s="6" t="s">
        <v>3092</v>
      </c>
      <c r="D1282" s="6" t="s">
        <v>3096</v>
      </c>
      <c r="E1282" s="6" t="s">
        <v>1801</v>
      </c>
      <c r="F1282" s="6" t="s">
        <v>16</v>
      </c>
      <c r="G1282" s="6" t="s">
        <v>686</v>
      </c>
      <c r="H1282" s="6"/>
      <c r="I1282" s="7" t="n">
        <v>41699</v>
      </c>
      <c r="J1282" s="6" t="s">
        <v>19</v>
      </c>
      <c r="K1282" s="6"/>
    </row>
    <row r="1283" customFormat="false" ht="12.8" hidden="false" customHeight="false" outlineLevel="0" collapsed="false">
      <c r="A1283" s="8" t="str">
        <f aca="false">HYPERLINK("https://www.fabsurplus.com/sdi_catalog/salesItemDetails.do?id=100160")</f>
        <v>https://www.fabsurplus.com/sdi_catalog/salesItemDetails.do?id=100160</v>
      </c>
      <c r="B1283" s="8" t="s">
        <v>3098</v>
      </c>
      <c r="C1283" s="8" t="s">
        <v>3092</v>
      </c>
      <c r="D1283" s="8" t="s">
        <v>3096</v>
      </c>
      <c r="E1283" s="8" t="s">
        <v>1801</v>
      </c>
      <c r="F1283" s="8" t="s">
        <v>16</v>
      </c>
      <c r="G1283" s="8" t="s">
        <v>686</v>
      </c>
      <c r="H1283" s="8"/>
      <c r="I1283" s="9" t="n">
        <v>41730</v>
      </c>
      <c r="J1283" s="8" t="s">
        <v>19</v>
      </c>
      <c r="K1283" s="8"/>
    </row>
    <row r="1284" customFormat="false" ht="12.8" hidden="false" customHeight="false" outlineLevel="0" collapsed="false">
      <c r="A1284" s="8" t="str">
        <f aca="false">HYPERLINK("https://www.fabsurplus.com/sdi_catalog/salesItemDetails.do?id=100159")</f>
        <v>https://www.fabsurplus.com/sdi_catalog/salesItemDetails.do?id=100159</v>
      </c>
      <c r="B1284" s="8" t="s">
        <v>3099</v>
      </c>
      <c r="C1284" s="8" t="s">
        <v>3092</v>
      </c>
      <c r="D1284" s="8" t="s">
        <v>3096</v>
      </c>
      <c r="E1284" s="8" t="s">
        <v>1801</v>
      </c>
      <c r="F1284" s="8" t="s">
        <v>16</v>
      </c>
      <c r="G1284" s="8" t="s">
        <v>686</v>
      </c>
      <c r="H1284" s="8"/>
      <c r="I1284" s="9" t="n">
        <v>41944</v>
      </c>
      <c r="J1284" s="8" t="s">
        <v>19</v>
      </c>
      <c r="K1284" s="8"/>
    </row>
    <row r="1285" customFormat="false" ht="12.8" hidden="false" customHeight="false" outlineLevel="0" collapsed="false">
      <c r="A1285" s="8" t="str">
        <f aca="false">HYPERLINK("https://www.fabsurplus.com/sdi_catalog/salesItemDetails.do?id=100158")</f>
        <v>https://www.fabsurplus.com/sdi_catalog/salesItemDetails.do?id=100158</v>
      </c>
      <c r="B1285" s="8" t="s">
        <v>3100</v>
      </c>
      <c r="C1285" s="8" t="s">
        <v>3092</v>
      </c>
      <c r="D1285" s="8" t="s">
        <v>3096</v>
      </c>
      <c r="E1285" s="8" t="s">
        <v>1801</v>
      </c>
      <c r="F1285" s="8" t="s">
        <v>16</v>
      </c>
      <c r="G1285" s="8" t="s">
        <v>686</v>
      </c>
      <c r="H1285" s="8"/>
      <c r="I1285" s="9" t="n">
        <v>41913</v>
      </c>
      <c r="J1285" s="8" t="s">
        <v>19</v>
      </c>
      <c r="K1285" s="8"/>
    </row>
    <row r="1286" customFormat="false" ht="12.8" hidden="false" customHeight="false" outlineLevel="0" collapsed="false">
      <c r="A1286" s="6" t="str">
        <f aca="false">HYPERLINK("https://www.fabsurplus.com/sdi_catalog/salesItemDetails.do?id=100157")</f>
        <v>https://www.fabsurplus.com/sdi_catalog/salesItemDetails.do?id=100157</v>
      </c>
      <c r="B1286" s="6" t="s">
        <v>3101</v>
      </c>
      <c r="C1286" s="6" t="s">
        <v>3092</v>
      </c>
      <c r="D1286" s="6" t="s">
        <v>3102</v>
      </c>
      <c r="E1286" s="6" t="s">
        <v>1801</v>
      </c>
      <c r="F1286" s="6" t="s">
        <v>16</v>
      </c>
      <c r="G1286" s="6" t="s">
        <v>686</v>
      </c>
      <c r="H1286" s="6"/>
      <c r="I1286" s="6"/>
      <c r="J1286" s="6" t="s">
        <v>19</v>
      </c>
      <c r="K1286" s="6"/>
    </row>
    <row r="1287" customFormat="false" ht="12.8" hidden="false" customHeight="false" outlineLevel="0" collapsed="false">
      <c r="A1287" s="6" t="str">
        <f aca="false">HYPERLINK("https://www.fabsurplus.com/sdi_catalog/salesItemDetails.do?id=99159")</f>
        <v>https://www.fabsurplus.com/sdi_catalog/salesItemDetails.do?id=99159</v>
      </c>
      <c r="B1287" s="6" t="s">
        <v>3103</v>
      </c>
      <c r="C1287" s="6" t="s">
        <v>3092</v>
      </c>
      <c r="D1287" s="6" t="s">
        <v>3102</v>
      </c>
      <c r="E1287" s="6" t="s">
        <v>1801</v>
      </c>
      <c r="F1287" s="6" t="s">
        <v>16</v>
      </c>
      <c r="G1287" s="6" t="s">
        <v>686</v>
      </c>
      <c r="H1287" s="6"/>
      <c r="I1287" s="6"/>
      <c r="J1287" s="6" t="s">
        <v>19</v>
      </c>
      <c r="K1287" s="6"/>
    </row>
    <row r="1288" customFormat="false" ht="12.8" hidden="false" customHeight="false" outlineLevel="0" collapsed="false">
      <c r="A1288" s="8" t="str">
        <f aca="false">HYPERLINK("https://www.fabsurplus.com/sdi_catalog/salesItemDetails.do?id=99158")</f>
        <v>https://www.fabsurplus.com/sdi_catalog/salesItemDetails.do?id=99158</v>
      </c>
      <c r="B1288" s="8" t="s">
        <v>3104</v>
      </c>
      <c r="C1288" s="8" t="s">
        <v>3092</v>
      </c>
      <c r="D1288" s="8" t="s">
        <v>3102</v>
      </c>
      <c r="E1288" s="8" t="s">
        <v>1801</v>
      </c>
      <c r="F1288" s="8" t="s">
        <v>16</v>
      </c>
      <c r="G1288" s="8" t="s">
        <v>686</v>
      </c>
      <c r="H1288" s="8"/>
      <c r="I1288" s="8"/>
      <c r="J1288" s="8" t="s">
        <v>19</v>
      </c>
      <c r="K1288" s="8"/>
    </row>
    <row r="1289" customFormat="false" ht="12.8" hidden="false" customHeight="false" outlineLevel="0" collapsed="false">
      <c r="A1289" s="6" t="str">
        <f aca="false">HYPERLINK("https://www.fabsurplus.com/sdi_catalog/salesItemDetails.do?id=97861")</f>
        <v>https://www.fabsurplus.com/sdi_catalog/salesItemDetails.do?id=97861</v>
      </c>
      <c r="B1289" s="6" t="s">
        <v>3105</v>
      </c>
      <c r="C1289" s="6" t="s">
        <v>307</v>
      </c>
      <c r="D1289" s="6" t="s">
        <v>3106</v>
      </c>
      <c r="E1289" s="6" t="s">
        <v>1842</v>
      </c>
      <c r="F1289" s="6" t="s">
        <v>16</v>
      </c>
      <c r="G1289" s="6"/>
      <c r="H1289" s="6"/>
      <c r="I1289" s="6"/>
      <c r="J1289" s="6" t="s">
        <v>19</v>
      </c>
      <c r="K1289" s="6"/>
    </row>
    <row r="1290" customFormat="false" ht="12.8" hidden="false" customHeight="false" outlineLevel="0" collapsed="false">
      <c r="A1290" s="8" t="str">
        <f aca="false">HYPERLINK("https://www.fabsurplus.com/sdi_catalog/salesItemDetails.do?id=97860")</f>
        <v>https://www.fabsurplus.com/sdi_catalog/salesItemDetails.do?id=97860</v>
      </c>
      <c r="B1290" s="8" t="s">
        <v>3107</v>
      </c>
      <c r="C1290" s="8" t="s">
        <v>307</v>
      </c>
      <c r="D1290" s="8" t="s">
        <v>3106</v>
      </c>
      <c r="E1290" s="8" t="s">
        <v>1842</v>
      </c>
      <c r="F1290" s="8" t="s">
        <v>16</v>
      </c>
      <c r="G1290" s="8"/>
      <c r="H1290" s="8"/>
      <c r="I1290" s="8"/>
      <c r="J1290" s="8" t="s">
        <v>19</v>
      </c>
      <c r="K1290" s="8"/>
    </row>
    <row r="1291" customFormat="false" ht="12.8" hidden="false" customHeight="false" outlineLevel="0" collapsed="false">
      <c r="A1291" s="8" t="str">
        <f aca="false">HYPERLINK("https://www.fabsurplus.com/sdi_catalog/salesItemDetails.do?id=97862")</f>
        <v>https://www.fabsurplus.com/sdi_catalog/salesItemDetails.do?id=97862</v>
      </c>
      <c r="B1291" s="8" t="s">
        <v>3108</v>
      </c>
      <c r="C1291" s="8" t="s">
        <v>307</v>
      </c>
      <c r="D1291" s="8" t="s">
        <v>3109</v>
      </c>
      <c r="E1291" s="8" t="s">
        <v>3110</v>
      </c>
      <c r="F1291" s="8" t="s">
        <v>16</v>
      </c>
      <c r="G1291" s="8" t="s">
        <v>310</v>
      </c>
      <c r="H1291" s="8"/>
      <c r="I1291" s="8"/>
      <c r="J1291" s="8" t="s">
        <v>19</v>
      </c>
      <c r="K1291" s="8"/>
    </row>
    <row r="1292" customFormat="false" ht="12.8" hidden="false" customHeight="false" outlineLevel="0" collapsed="false">
      <c r="A1292" s="6" t="str">
        <f aca="false">HYPERLINK("https://www.fabsurplus.com/sdi_catalog/salesItemDetails.do?id=96864")</f>
        <v>https://www.fabsurplus.com/sdi_catalog/salesItemDetails.do?id=96864</v>
      </c>
      <c r="B1292" s="6" t="s">
        <v>3111</v>
      </c>
      <c r="C1292" s="6" t="s">
        <v>3092</v>
      </c>
      <c r="D1292" s="6" t="s">
        <v>3112</v>
      </c>
      <c r="E1292" s="6" t="s">
        <v>3113</v>
      </c>
      <c r="F1292" s="6" t="s">
        <v>16</v>
      </c>
      <c r="G1292" s="6"/>
      <c r="H1292" s="6"/>
      <c r="I1292" s="7" t="n">
        <v>43282</v>
      </c>
      <c r="J1292" s="6" t="s">
        <v>19</v>
      </c>
      <c r="K1292" s="6"/>
    </row>
    <row r="1293" customFormat="false" ht="12.8" hidden="false" customHeight="false" outlineLevel="0" collapsed="false">
      <c r="A1293" s="8" t="str">
        <f aca="false">HYPERLINK("https://www.fabsurplus.com/sdi_catalog/salesItemDetails.do?id=98270")</f>
        <v>https://www.fabsurplus.com/sdi_catalog/salesItemDetails.do?id=98270</v>
      </c>
      <c r="B1293" s="8" t="s">
        <v>3114</v>
      </c>
      <c r="C1293" s="8" t="s">
        <v>307</v>
      </c>
      <c r="D1293" s="8" t="s">
        <v>3115</v>
      </c>
      <c r="E1293" s="8" t="s">
        <v>1773</v>
      </c>
      <c r="F1293" s="8" t="s">
        <v>16</v>
      </c>
      <c r="G1293" s="8" t="s">
        <v>310</v>
      </c>
      <c r="H1293" s="8"/>
      <c r="I1293" s="9" t="n">
        <v>37773</v>
      </c>
      <c r="J1293" s="8" t="s">
        <v>19</v>
      </c>
      <c r="K1293" s="8"/>
    </row>
    <row r="1294" customFormat="false" ht="12.8" hidden="false" customHeight="false" outlineLevel="0" collapsed="false">
      <c r="A1294" s="8" t="str">
        <f aca="false">HYPERLINK("https://www.fabsurplus.com/sdi_catalog/salesItemDetails.do?id=98269")</f>
        <v>https://www.fabsurplus.com/sdi_catalog/salesItemDetails.do?id=98269</v>
      </c>
      <c r="B1294" s="8" t="s">
        <v>3116</v>
      </c>
      <c r="C1294" s="8" t="s">
        <v>307</v>
      </c>
      <c r="D1294" s="8" t="s">
        <v>3115</v>
      </c>
      <c r="E1294" s="8" t="s">
        <v>1773</v>
      </c>
      <c r="F1294" s="8" t="s">
        <v>16</v>
      </c>
      <c r="G1294" s="8" t="s">
        <v>310</v>
      </c>
      <c r="H1294" s="8"/>
      <c r="I1294" s="9" t="n">
        <v>37773</v>
      </c>
      <c r="J1294" s="8" t="s">
        <v>19</v>
      </c>
      <c r="K1294" s="8"/>
    </row>
    <row r="1295" customFormat="false" ht="12.8" hidden="false" customHeight="false" outlineLevel="0" collapsed="false">
      <c r="A1295" s="6" t="str">
        <f aca="false">HYPERLINK("https://www.fabsurplus.com/sdi_catalog/salesItemDetails.do?id=99856")</f>
        <v>https://www.fabsurplus.com/sdi_catalog/salesItemDetails.do?id=99856</v>
      </c>
      <c r="B1295" s="6" t="s">
        <v>3117</v>
      </c>
      <c r="C1295" s="6" t="s">
        <v>3092</v>
      </c>
      <c r="D1295" s="6" t="s">
        <v>3118</v>
      </c>
      <c r="E1295" s="6" t="s">
        <v>3119</v>
      </c>
      <c r="F1295" s="6" t="s">
        <v>16</v>
      </c>
      <c r="G1295" s="6"/>
      <c r="H1295" s="6"/>
      <c r="I1295" s="7" t="n">
        <v>34121</v>
      </c>
      <c r="J1295" s="6" t="s">
        <v>81</v>
      </c>
      <c r="K1295" s="6"/>
    </row>
    <row r="1296" customFormat="false" ht="12.8" hidden="false" customHeight="false" outlineLevel="0" collapsed="false">
      <c r="A1296" s="8" t="str">
        <f aca="false">HYPERLINK("https://www.fabsurplus.com/sdi_catalog/salesItemDetails.do?id=98273")</f>
        <v>https://www.fabsurplus.com/sdi_catalog/salesItemDetails.do?id=98273</v>
      </c>
      <c r="B1296" s="8" t="s">
        <v>3120</v>
      </c>
      <c r="C1296" s="8" t="s">
        <v>307</v>
      </c>
      <c r="D1296" s="8" t="s">
        <v>3121</v>
      </c>
      <c r="E1296" s="8" t="s">
        <v>3122</v>
      </c>
      <c r="F1296" s="8" t="s">
        <v>16</v>
      </c>
      <c r="G1296" s="8"/>
      <c r="H1296" s="8"/>
      <c r="I1296" s="8"/>
      <c r="J1296" s="8" t="s">
        <v>19</v>
      </c>
      <c r="K1296" s="8"/>
    </row>
    <row r="1297" customFormat="false" ht="12.8" hidden="false" customHeight="false" outlineLevel="0" collapsed="false">
      <c r="A1297" s="6" t="str">
        <f aca="false">HYPERLINK("https://www.fabsurplus.com/sdi_catalog/salesItemDetails.do?id=98272")</f>
        <v>https://www.fabsurplus.com/sdi_catalog/salesItemDetails.do?id=98272</v>
      </c>
      <c r="B1297" s="6" t="s">
        <v>3123</v>
      </c>
      <c r="C1297" s="6" t="s">
        <v>307</v>
      </c>
      <c r="D1297" s="6" t="s">
        <v>3124</v>
      </c>
      <c r="E1297" s="6" t="s">
        <v>3125</v>
      </c>
      <c r="F1297" s="6" t="s">
        <v>16</v>
      </c>
      <c r="G1297" s="6" t="s">
        <v>310</v>
      </c>
      <c r="H1297" s="6"/>
      <c r="I1297" s="7" t="n">
        <v>37043</v>
      </c>
      <c r="J1297" s="6" t="s">
        <v>19</v>
      </c>
      <c r="K1297" s="6"/>
    </row>
    <row r="1298" customFormat="false" ht="12.8" hidden="false" customHeight="false" outlineLevel="0" collapsed="false">
      <c r="A1298" s="6" t="str">
        <f aca="false">HYPERLINK("https://www.fabsurplus.com/sdi_catalog/salesItemDetails.do?id=98271")</f>
        <v>https://www.fabsurplus.com/sdi_catalog/salesItemDetails.do?id=98271</v>
      </c>
      <c r="B1298" s="6" t="s">
        <v>3126</v>
      </c>
      <c r="C1298" s="6" t="s">
        <v>307</v>
      </c>
      <c r="D1298" s="6" t="s">
        <v>3124</v>
      </c>
      <c r="E1298" s="6" t="s">
        <v>3125</v>
      </c>
      <c r="F1298" s="6" t="s">
        <v>16</v>
      </c>
      <c r="G1298" s="6" t="s">
        <v>310</v>
      </c>
      <c r="H1298" s="6"/>
      <c r="I1298" s="7" t="n">
        <v>37043</v>
      </c>
      <c r="J1298" s="6" t="s">
        <v>19</v>
      </c>
      <c r="K1298" s="6"/>
    </row>
    <row r="1299" customFormat="false" ht="12.8" hidden="false" customHeight="false" outlineLevel="0" collapsed="false">
      <c r="A1299" s="6" t="str">
        <f aca="false">HYPERLINK("https://www.fabsurplus.com/sdi_catalog/salesItemDetails.do?id=99987")</f>
        <v>https://www.fabsurplus.com/sdi_catalog/salesItemDetails.do?id=99987</v>
      </c>
      <c r="B1299" s="6" t="s">
        <v>3127</v>
      </c>
      <c r="C1299" s="6" t="s">
        <v>3092</v>
      </c>
      <c r="D1299" s="6" t="s">
        <v>3128</v>
      </c>
      <c r="E1299" s="6" t="s">
        <v>3129</v>
      </c>
      <c r="F1299" s="6" t="s">
        <v>16</v>
      </c>
      <c r="G1299" s="6" t="s">
        <v>697</v>
      </c>
      <c r="H1299" s="6"/>
      <c r="I1299" s="7" t="n">
        <v>35217</v>
      </c>
      <c r="J1299" s="6" t="s">
        <v>19</v>
      </c>
      <c r="K1299" s="6"/>
    </row>
    <row r="1300" customFormat="false" ht="12.8" hidden="false" customHeight="false" outlineLevel="0" collapsed="false">
      <c r="A1300" s="6" t="str">
        <f aca="false">HYPERLINK("https://www.fabsurplus.com/sdi_catalog/salesItemDetails.do?id=98274")</f>
        <v>https://www.fabsurplus.com/sdi_catalog/salesItemDetails.do?id=98274</v>
      </c>
      <c r="B1300" s="6" t="s">
        <v>3130</v>
      </c>
      <c r="C1300" s="6" t="s">
        <v>307</v>
      </c>
      <c r="D1300" s="6" t="s">
        <v>3131</v>
      </c>
      <c r="E1300" s="6" t="s">
        <v>3132</v>
      </c>
      <c r="F1300" s="6" t="s">
        <v>16</v>
      </c>
      <c r="G1300" s="6" t="s">
        <v>32</v>
      </c>
      <c r="H1300" s="6"/>
      <c r="I1300" s="7" t="n">
        <v>36678</v>
      </c>
      <c r="J1300" s="6" t="s">
        <v>19</v>
      </c>
      <c r="K1300" s="6"/>
    </row>
    <row r="1301" customFormat="false" ht="12.8" hidden="false" customHeight="false" outlineLevel="0" collapsed="false">
      <c r="A1301" s="8" t="str">
        <f aca="false">HYPERLINK("https://www.fabsurplus.com/sdi_catalog/salesItemDetails.do?id=99988")</f>
        <v>https://www.fabsurplus.com/sdi_catalog/salesItemDetails.do?id=99988</v>
      </c>
      <c r="B1301" s="8" t="s">
        <v>3133</v>
      </c>
      <c r="C1301" s="8" t="s">
        <v>3092</v>
      </c>
      <c r="D1301" s="8" t="s">
        <v>3134</v>
      </c>
      <c r="E1301" s="8" t="s">
        <v>3129</v>
      </c>
      <c r="F1301" s="8" t="s">
        <v>16</v>
      </c>
      <c r="G1301" s="8" t="s">
        <v>697</v>
      </c>
      <c r="H1301" s="8"/>
      <c r="I1301" s="9" t="n">
        <v>35947</v>
      </c>
      <c r="J1301" s="8" t="s">
        <v>19</v>
      </c>
      <c r="K1301" s="8"/>
    </row>
    <row r="1302" customFormat="false" ht="12.8" hidden="false" customHeight="false" outlineLevel="0" collapsed="false">
      <c r="A1302" s="8" t="str">
        <f aca="false">HYPERLINK("https://www.fabsurplus.com/sdi_catalog/salesItemDetails.do?id=98275")</f>
        <v>https://www.fabsurplus.com/sdi_catalog/salesItemDetails.do?id=98275</v>
      </c>
      <c r="B1302" s="8" t="s">
        <v>3135</v>
      </c>
      <c r="C1302" s="8" t="s">
        <v>307</v>
      </c>
      <c r="D1302" s="8" t="s">
        <v>3136</v>
      </c>
      <c r="E1302" s="8" t="s">
        <v>3132</v>
      </c>
      <c r="F1302" s="8" t="s">
        <v>16</v>
      </c>
      <c r="G1302" s="8" t="s">
        <v>310</v>
      </c>
      <c r="H1302" s="8"/>
      <c r="I1302" s="9" t="n">
        <v>41426</v>
      </c>
      <c r="J1302" s="8" t="s">
        <v>19</v>
      </c>
      <c r="K1302" s="8"/>
    </row>
    <row r="1303" customFormat="false" ht="12.8" hidden="false" customHeight="false" outlineLevel="0" collapsed="false">
      <c r="A1303" s="6" t="str">
        <f aca="false">HYPERLINK("https://www.fabsurplus.com/sdi_catalog/salesItemDetails.do?id=98813")</f>
        <v>https://www.fabsurplus.com/sdi_catalog/salesItemDetails.do?id=98813</v>
      </c>
      <c r="B1303" s="6" t="s">
        <v>3137</v>
      </c>
      <c r="C1303" s="6" t="s">
        <v>307</v>
      </c>
      <c r="D1303" s="6" t="s">
        <v>3138</v>
      </c>
      <c r="E1303" s="6" t="s">
        <v>3132</v>
      </c>
      <c r="F1303" s="6" t="s">
        <v>16</v>
      </c>
      <c r="G1303" s="6" t="s">
        <v>310</v>
      </c>
      <c r="H1303" s="6"/>
      <c r="I1303" s="7" t="n">
        <v>39114</v>
      </c>
      <c r="J1303" s="6" t="s">
        <v>19</v>
      </c>
      <c r="K1303" s="6"/>
    </row>
    <row r="1304" customFormat="false" ht="12.8" hidden="false" customHeight="false" outlineLevel="0" collapsed="false">
      <c r="A1304" s="6" t="str">
        <f aca="false">HYPERLINK("https://www.fabsurplus.com/sdi_catalog/salesItemDetails.do?id=100779")</f>
        <v>https://www.fabsurplus.com/sdi_catalog/salesItemDetails.do?id=100779</v>
      </c>
      <c r="B1304" s="6" t="s">
        <v>3139</v>
      </c>
      <c r="C1304" s="6" t="s">
        <v>3092</v>
      </c>
      <c r="D1304" s="6" t="s">
        <v>3140</v>
      </c>
      <c r="E1304" s="6" t="s">
        <v>3129</v>
      </c>
      <c r="F1304" s="6" t="s">
        <v>16</v>
      </c>
      <c r="G1304" s="6"/>
      <c r="H1304" s="6"/>
      <c r="I1304" s="7" t="n">
        <v>39234</v>
      </c>
      <c r="J1304" s="6" t="s">
        <v>81</v>
      </c>
      <c r="K1304" s="6"/>
    </row>
    <row r="1305" customFormat="false" ht="12.8" hidden="false" customHeight="false" outlineLevel="0" collapsed="false">
      <c r="A1305" s="6" t="str">
        <f aca="false">HYPERLINK("https://www.fabsurplus.com/sdi_catalog/salesItemDetails.do?id=100781")</f>
        <v>https://www.fabsurplus.com/sdi_catalog/salesItemDetails.do?id=100781</v>
      </c>
      <c r="B1305" s="6" t="s">
        <v>3141</v>
      </c>
      <c r="C1305" s="6" t="s">
        <v>3092</v>
      </c>
      <c r="D1305" s="6" t="s">
        <v>3142</v>
      </c>
      <c r="E1305" s="6" t="s">
        <v>3129</v>
      </c>
      <c r="F1305" s="6" t="s">
        <v>16</v>
      </c>
      <c r="G1305" s="6"/>
      <c r="H1305" s="6"/>
      <c r="I1305" s="7" t="n">
        <v>34121</v>
      </c>
      <c r="J1305" s="6" t="s">
        <v>81</v>
      </c>
      <c r="K1305" s="6"/>
    </row>
    <row r="1306" customFormat="false" ht="12.8" hidden="false" customHeight="false" outlineLevel="0" collapsed="false">
      <c r="A1306" s="8" t="str">
        <f aca="false">HYPERLINK("https://www.fabsurplus.com/sdi_catalog/salesItemDetails.do?id=100780")</f>
        <v>https://www.fabsurplus.com/sdi_catalog/salesItemDetails.do?id=100780</v>
      </c>
      <c r="B1306" s="8" t="s">
        <v>3143</v>
      </c>
      <c r="C1306" s="8" t="s">
        <v>3092</v>
      </c>
      <c r="D1306" s="8" t="s">
        <v>3142</v>
      </c>
      <c r="E1306" s="8" t="s">
        <v>3129</v>
      </c>
      <c r="F1306" s="8" t="s">
        <v>16</v>
      </c>
      <c r="G1306" s="8"/>
      <c r="H1306" s="8"/>
      <c r="I1306" s="8"/>
      <c r="J1306" s="8" t="s">
        <v>81</v>
      </c>
      <c r="K1306" s="8"/>
    </row>
    <row r="1307" customFormat="false" ht="12.8" hidden="false" customHeight="false" outlineLevel="0" collapsed="false">
      <c r="A1307" s="6" t="str">
        <f aca="false">HYPERLINK("https://www.fabsurplus.com/sdi_catalog/salesItemDetails.do?id=97014")</f>
        <v>https://www.fabsurplus.com/sdi_catalog/salesItemDetails.do?id=97014</v>
      </c>
      <c r="B1307" s="6" t="s">
        <v>3144</v>
      </c>
      <c r="C1307" s="6" t="s">
        <v>3092</v>
      </c>
      <c r="D1307" s="6" t="s">
        <v>3145</v>
      </c>
      <c r="E1307" s="6" t="s">
        <v>3129</v>
      </c>
      <c r="F1307" s="6" t="s">
        <v>16</v>
      </c>
      <c r="G1307" s="6" t="s">
        <v>32</v>
      </c>
      <c r="H1307" s="6"/>
      <c r="I1307" s="7" t="n">
        <v>36678</v>
      </c>
      <c r="J1307" s="6" t="s">
        <v>19</v>
      </c>
      <c r="K1307" s="6"/>
    </row>
    <row r="1308" customFormat="false" ht="12.8" hidden="false" customHeight="false" outlineLevel="0" collapsed="false">
      <c r="A1308" s="8" t="str">
        <f aca="false">HYPERLINK("https://www.fabsurplus.com/sdi_catalog/salesItemDetails.do?id=98120")</f>
        <v>https://www.fabsurplus.com/sdi_catalog/salesItemDetails.do?id=98120</v>
      </c>
      <c r="B1308" s="8" t="s">
        <v>3146</v>
      </c>
      <c r="C1308" s="8" t="s">
        <v>3092</v>
      </c>
      <c r="D1308" s="8" t="s">
        <v>3147</v>
      </c>
      <c r="E1308" s="8" t="s">
        <v>3122</v>
      </c>
      <c r="F1308" s="8" t="s">
        <v>16</v>
      </c>
      <c r="G1308" s="8" t="s">
        <v>310</v>
      </c>
      <c r="H1308" s="8"/>
      <c r="I1308" s="9" t="n">
        <v>38504</v>
      </c>
      <c r="J1308" s="8" t="s">
        <v>19</v>
      </c>
      <c r="K1308" s="8"/>
    </row>
    <row r="1309" customFormat="false" ht="12.8" hidden="false" customHeight="false" outlineLevel="0" collapsed="false">
      <c r="A1309" s="6" t="str">
        <f aca="false">HYPERLINK("https://www.fabsurplus.com/sdi_catalog/salesItemDetails.do?id=98119")</f>
        <v>https://www.fabsurplus.com/sdi_catalog/salesItemDetails.do?id=98119</v>
      </c>
      <c r="B1309" s="6" t="s">
        <v>3148</v>
      </c>
      <c r="C1309" s="6" t="s">
        <v>3092</v>
      </c>
      <c r="D1309" s="6" t="s">
        <v>3147</v>
      </c>
      <c r="E1309" s="6" t="s">
        <v>3122</v>
      </c>
      <c r="F1309" s="6" t="s">
        <v>16</v>
      </c>
      <c r="G1309" s="6" t="s">
        <v>310</v>
      </c>
      <c r="H1309" s="6"/>
      <c r="I1309" s="7" t="n">
        <v>38139</v>
      </c>
      <c r="J1309" s="6" t="s">
        <v>19</v>
      </c>
      <c r="K1309" s="6"/>
    </row>
    <row r="1310" customFormat="false" ht="12.8" hidden="false" customHeight="false" outlineLevel="0" collapsed="false">
      <c r="A1310" s="8" t="str">
        <f aca="false">HYPERLINK("https://www.fabsurplus.com/sdi_catalog/salesItemDetails.do?id=100782")</f>
        <v>https://www.fabsurplus.com/sdi_catalog/salesItemDetails.do?id=100782</v>
      </c>
      <c r="B1310" s="8" t="s">
        <v>3149</v>
      </c>
      <c r="C1310" s="8" t="s">
        <v>3092</v>
      </c>
      <c r="D1310" s="8" t="s">
        <v>3147</v>
      </c>
      <c r="E1310" s="8" t="s">
        <v>3150</v>
      </c>
      <c r="F1310" s="8" t="s">
        <v>16</v>
      </c>
      <c r="G1310" s="8"/>
      <c r="H1310" s="8"/>
      <c r="I1310" s="9" t="n">
        <v>39234</v>
      </c>
      <c r="J1310" s="8" t="s">
        <v>81</v>
      </c>
      <c r="K1310" s="8"/>
    </row>
    <row r="1311" customFormat="false" ht="12.8" hidden="false" customHeight="false" outlineLevel="0" collapsed="false">
      <c r="A1311" s="8" t="str">
        <f aca="false">HYPERLINK("https://www.fabsurplus.com/sdi_catalog/salesItemDetails.do?id=97016")</f>
        <v>https://www.fabsurplus.com/sdi_catalog/salesItemDetails.do?id=97016</v>
      </c>
      <c r="B1311" s="8" t="s">
        <v>3151</v>
      </c>
      <c r="C1311" s="8" t="s">
        <v>3092</v>
      </c>
      <c r="D1311" s="8" t="s">
        <v>3152</v>
      </c>
      <c r="E1311" s="8" t="s">
        <v>3153</v>
      </c>
      <c r="F1311" s="8" t="s">
        <v>16</v>
      </c>
      <c r="G1311" s="8"/>
      <c r="H1311" s="8"/>
      <c r="I1311" s="9" t="n">
        <v>35217</v>
      </c>
      <c r="J1311" s="8" t="s">
        <v>19</v>
      </c>
      <c r="K1311" s="8"/>
    </row>
    <row r="1312" customFormat="false" ht="12.8" hidden="false" customHeight="false" outlineLevel="0" collapsed="false">
      <c r="A1312" s="6" t="str">
        <f aca="false">HYPERLINK("https://www.fabsurplus.com/sdi_catalog/salesItemDetails.do?id=100783")</f>
        <v>https://www.fabsurplus.com/sdi_catalog/salesItemDetails.do?id=100783</v>
      </c>
      <c r="B1312" s="6" t="s">
        <v>3154</v>
      </c>
      <c r="C1312" s="6" t="s">
        <v>3092</v>
      </c>
      <c r="D1312" s="6" t="s">
        <v>3152</v>
      </c>
      <c r="E1312" s="6" t="s">
        <v>3129</v>
      </c>
      <c r="F1312" s="6" t="s">
        <v>16</v>
      </c>
      <c r="G1312" s="6"/>
      <c r="H1312" s="6"/>
      <c r="I1312" s="7" t="n">
        <v>34851</v>
      </c>
      <c r="J1312" s="6" t="s">
        <v>81</v>
      </c>
      <c r="K1312" s="6"/>
    </row>
    <row r="1313" customFormat="false" ht="12.8" hidden="false" customHeight="false" outlineLevel="0" collapsed="false">
      <c r="A1313" s="8" t="str">
        <f aca="false">HYPERLINK("https://www.fabsurplus.com/sdi_catalog/salesItemDetails.do?id=98206")</f>
        <v>https://www.fabsurplus.com/sdi_catalog/salesItemDetails.do?id=98206</v>
      </c>
      <c r="B1313" s="8" t="s">
        <v>3155</v>
      </c>
      <c r="C1313" s="8" t="s">
        <v>3092</v>
      </c>
      <c r="D1313" s="8" t="s">
        <v>3156</v>
      </c>
      <c r="E1313" s="8" t="s">
        <v>2884</v>
      </c>
      <c r="F1313" s="8" t="s">
        <v>16</v>
      </c>
      <c r="G1313" s="8"/>
      <c r="H1313" s="8"/>
      <c r="I1313" s="8"/>
      <c r="J1313" s="8" t="s">
        <v>81</v>
      </c>
      <c r="K1313" s="8"/>
    </row>
    <row r="1314" customFormat="false" ht="12.8" hidden="false" customHeight="false" outlineLevel="0" collapsed="false">
      <c r="A1314" s="8" t="str">
        <f aca="false">HYPERLINK("https://www.fabsurplus.com/sdi_catalog/salesItemDetails.do?id=100784")</f>
        <v>https://www.fabsurplus.com/sdi_catalog/salesItemDetails.do?id=100784</v>
      </c>
      <c r="B1314" s="8" t="s">
        <v>3157</v>
      </c>
      <c r="C1314" s="8" t="s">
        <v>3092</v>
      </c>
      <c r="D1314" s="8" t="s">
        <v>3158</v>
      </c>
      <c r="E1314" s="8" t="s">
        <v>3129</v>
      </c>
      <c r="F1314" s="8" t="s">
        <v>16</v>
      </c>
      <c r="G1314" s="8"/>
      <c r="H1314" s="8"/>
      <c r="I1314" s="9" t="n">
        <v>35947</v>
      </c>
      <c r="J1314" s="8" t="s">
        <v>81</v>
      </c>
      <c r="K1314" s="8"/>
    </row>
    <row r="1315" customFormat="false" ht="12.8" hidden="false" customHeight="false" outlineLevel="0" collapsed="false">
      <c r="A1315" s="8" t="str">
        <f aca="false">HYPERLINK("https://www.fabsurplus.com/sdi_catalog/salesItemDetails.do?id=99005")</f>
        <v>https://www.fabsurplus.com/sdi_catalog/salesItemDetails.do?id=99005</v>
      </c>
      <c r="B1315" s="8" t="s">
        <v>3159</v>
      </c>
      <c r="C1315" s="8" t="s">
        <v>307</v>
      </c>
      <c r="D1315" s="8" t="s">
        <v>3160</v>
      </c>
      <c r="E1315" s="8" t="s">
        <v>3161</v>
      </c>
      <c r="F1315" s="8" t="s">
        <v>16</v>
      </c>
      <c r="G1315" s="8" t="s">
        <v>3162</v>
      </c>
      <c r="H1315" s="8"/>
      <c r="I1315" s="9" t="n">
        <v>38504</v>
      </c>
      <c r="J1315" s="8" t="s">
        <v>19</v>
      </c>
      <c r="K1315" s="8"/>
    </row>
    <row r="1316" customFormat="false" ht="12.8" hidden="false" customHeight="false" outlineLevel="0" collapsed="false">
      <c r="A1316" s="8" t="str">
        <f aca="false">HYPERLINK("https://www.fabsurplus.com/sdi_catalog/salesItemDetails.do?id=99855")</f>
        <v>https://www.fabsurplus.com/sdi_catalog/salesItemDetails.do?id=99855</v>
      </c>
      <c r="B1316" s="8" t="s">
        <v>3163</v>
      </c>
      <c r="C1316" s="8" t="s">
        <v>3092</v>
      </c>
      <c r="D1316" s="8" t="s">
        <v>3164</v>
      </c>
      <c r="E1316" s="8" t="s">
        <v>3132</v>
      </c>
      <c r="F1316" s="8" t="s">
        <v>16</v>
      </c>
      <c r="G1316" s="8"/>
      <c r="H1316" s="8"/>
      <c r="I1316" s="9" t="n">
        <v>35096</v>
      </c>
      <c r="J1316" s="8" t="s">
        <v>81</v>
      </c>
      <c r="K1316" s="8"/>
    </row>
    <row r="1317" customFormat="false" ht="12.8" hidden="false" customHeight="false" outlineLevel="0" collapsed="false">
      <c r="A1317" s="6" t="str">
        <f aca="false">HYPERLINK("https://www.fabsurplus.com/sdi_catalog/salesItemDetails.do?id=100785")</f>
        <v>https://www.fabsurplus.com/sdi_catalog/salesItemDetails.do?id=100785</v>
      </c>
      <c r="B1317" s="6" t="s">
        <v>3165</v>
      </c>
      <c r="C1317" s="6" t="s">
        <v>3092</v>
      </c>
      <c r="D1317" s="6" t="s">
        <v>3164</v>
      </c>
      <c r="E1317" s="6" t="s">
        <v>109</v>
      </c>
      <c r="F1317" s="6" t="s">
        <v>16</v>
      </c>
      <c r="G1317" s="6" t="s">
        <v>32</v>
      </c>
      <c r="H1317" s="6"/>
      <c r="I1317" s="7" t="n">
        <v>35217</v>
      </c>
      <c r="J1317" s="6" t="s">
        <v>81</v>
      </c>
      <c r="K1317" s="6"/>
    </row>
    <row r="1318" customFormat="false" ht="12.8" hidden="false" customHeight="false" outlineLevel="0" collapsed="false">
      <c r="A1318" s="8" t="str">
        <f aca="false">HYPERLINK("https://www.fabsurplus.com/sdi_catalog/salesItemDetails.do?id=100786")</f>
        <v>https://www.fabsurplus.com/sdi_catalog/salesItemDetails.do?id=100786</v>
      </c>
      <c r="B1318" s="8" t="s">
        <v>3166</v>
      </c>
      <c r="C1318" s="8" t="s">
        <v>3092</v>
      </c>
      <c r="D1318" s="8" t="s">
        <v>3167</v>
      </c>
      <c r="E1318" s="8" t="s">
        <v>109</v>
      </c>
      <c r="F1318" s="8" t="s">
        <v>16</v>
      </c>
      <c r="G1318" s="8"/>
      <c r="H1318" s="8"/>
      <c r="I1318" s="8"/>
      <c r="J1318" s="8" t="s">
        <v>81</v>
      </c>
      <c r="K1318" s="8"/>
    </row>
    <row r="1319" customFormat="false" ht="12.8" hidden="false" customHeight="false" outlineLevel="0" collapsed="false">
      <c r="A1319" s="8" t="str">
        <f aca="false">HYPERLINK("https://www.fabsurplus.com/sdi_catalog/salesItemDetails.do?id=100788")</f>
        <v>https://www.fabsurplus.com/sdi_catalog/salesItemDetails.do?id=100788</v>
      </c>
      <c r="B1319" s="8" t="s">
        <v>3168</v>
      </c>
      <c r="C1319" s="8" t="s">
        <v>3092</v>
      </c>
      <c r="D1319" s="8" t="s">
        <v>3169</v>
      </c>
      <c r="E1319" s="8" t="s">
        <v>109</v>
      </c>
      <c r="F1319" s="8" t="s">
        <v>16</v>
      </c>
      <c r="G1319" s="8" t="s">
        <v>32</v>
      </c>
      <c r="H1319" s="8"/>
      <c r="I1319" s="9" t="n">
        <v>40695</v>
      </c>
      <c r="J1319" s="8" t="s">
        <v>81</v>
      </c>
      <c r="K1319" s="8"/>
    </row>
    <row r="1320" customFormat="false" ht="12.8" hidden="false" customHeight="false" outlineLevel="0" collapsed="false">
      <c r="A1320" s="6" t="str">
        <f aca="false">HYPERLINK("https://www.fabsurplus.com/sdi_catalog/salesItemDetails.do?id=100787")</f>
        <v>https://www.fabsurplus.com/sdi_catalog/salesItemDetails.do?id=100787</v>
      </c>
      <c r="B1320" s="6" t="s">
        <v>3170</v>
      </c>
      <c r="C1320" s="6" t="s">
        <v>3092</v>
      </c>
      <c r="D1320" s="6" t="s">
        <v>3169</v>
      </c>
      <c r="E1320" s="6" t="s">
        <v>109</v>
      </c>
      <c r="F1320" s="6" t="s">
        <v>16</v>
      </c>
      <c r="G1320" s="6" t="s">
        <v>32</v>
      </c>
      <c r="H1320" s="6"/>
      <c r="I1320" s="7" t="n">
        <v>37773</v>
      </c>
      <c r="J1320" s="6" t="s">
        <v>81</v>
      </c>
      <c r="K1320" s="6"/>
    </row>
    <row r="1321" customFormat="false" ht="12.8" hidden="false" customHeight="false" outlineLevel="0" collapsed="false">
      <c r="A1321" s="6" t="str">
        <f aca="false">HYPERLINK("https://www.fabsurplus.com/sdi_catalog/salesItemDetails.do?id=100789")</f>
        <v>https://www.fabsurplus.com/sdi_catalog/salesItemDetails.do?id=100789</v>
      </c>
      <c r="B1321" s="6" t="s">
        <v>3171</v>
      </c>
      <c r="C1321" s="6" t="s">
        <v>3092</v>
      </c>
      <c r="D1321" s="6" t="s">
        <v>3172</v>
      </c>
      <c r="E1321" s="6" t="s">
        <v>109</v>
      </c>
      <c r="F1321" s="6" t="s">
        <v>16</v>
      </c>
      <c r="G1321" s="6" t="s">
        <v>310</v>
      </c>
      <c r="H1321" s="6"/>
      <c r="I1321" s="7" t="n">
        <v>41061</v>
      </c>
      <c r="J1321" s="6" t="s">
        <v>81</v>
      </c>
      <c r="K1321" s="6"/>
    </row>
    <row r="1322" customFormat="false" ht="12.8" hidden="false" customHeight="false" outlineLevel="0" collapsed="false">
      <c r="A1322" s="8" t="str">
        <f aca="false">HYPERLINK("https://www.fabsurplus.com/sdi_catalog/salesItemDetails.do?id=100790")</f>
        <v>https://www.fabsurplus.com/sdi_catalog/salesItemDetails.do?id=100790</v>
      </c>
      <c r="B1322" s="8" t="s">
        <v>3173</v>
      </c>
      <c r="C1322" s="8" t="s">
        <v>3092</v>
      </c>
      <c r="D1322" s="8" t="s">
        <v>3174</v>
      </c>
      <c r="E1322" s="8" t="s">
        <v>109</v>
      </c>
      <c r="F1322" s="8" t="s">
        <v>16</v>
      </c>
      <c r="G1322" s="8"/>
      <c r="H1322" s="8"/>
      <c r="I1322" s="8"/>
      <c r="J1322" s="8" t="s">
        <v>81</v>
      </c>
      <c r="K1322" s="8"/>
    </row>
    <row r="1323" customFormat="false" ht="12.8" hidden="false" customHeight="false" outlineLevel="0" collapsed="false">
      <c r="A1323" s="6" t="str">
        <f aca="false">HYPERLINK("https://www.fabsurplus.com/sdi_catalog/salesItemDetails.do?id=100163")</f>
        <v>https://www.fabsurplus.com/sdi_catalog/salesItemDetails.do?id=100163</v>
      </c>
      <c r="B1323" s="6" t="s">
        <v>3175</v>
      </c>
      <c r="C1323" s="6" t="s">
        <v>3092</v>
      </c>
      <c r="D1323" s="6" t="s">
        <v>3176</v>
      </c>
      <c r="E1323" s="6" t="s">
        <v>1801</v>
      </c>
      <c r="F1323" s="6" t="s">
        <v>16</v>
      </c>
      <c r="G1323" s="6" t="s">
        <v>686</v>
      </c>
      <c r="H1323" s="6"/>
      <c r="I1323" s="7" t="n">
        <v>38504</v>
      </c>
      <c r="J1323" s="6" t="s">
        <v>19</v>
      </c>
      <c r="K1323" s="6"/>
    </row>
    <row r="1324" customFormat="false" ht="12.8" hidden="false" customHeight="false" outlineLevel="0" collapsed="false">
      <c r="A1324" s="8" t="str">
        <f aca="false">HYPERLINK("https://www.fabsurplus.com/sdi_catalog/salesItemDetails.do?id=98122")</f>
        <v>https://www.fabsurplus.com/sdi_catalog/salesItemDetails.do?id=98122</v>
      </c>
      <c r="B1324" s="8" t="s">
        <v>3177</v>
      </c>
      <c r="C1324" s="8" t="s">
        <v>3092</v>
      </c>
      <c r="D1324" s="8" t="s">
        <v>3178</v>
      </c>
      <c r="E1324" s="8" t="s">
        <v>3132</v>
      </c>
      <c r="F1324" s="8" t="s">
        <v>16</v>
      </c>
      <c r="G1324" s="8" t="s">
        <v>310</v>
      </c>
      <c r="H1324" s="8"/>
      <c r="I1324" s="9" t="n">
        <v>38869</v>
      </c>
      <c r="J1324" s="8" t="s">
        <v>19</v>
      </c>
      <c r="K1324" s="8"/>
    </row>
    <row r="1325" customFormat="false" ht="12.8" hidden="false" customHeight="false" outlineLevel="0" collapsed="false">
      <c r="A1325" s="6" t="str">
        <f aca="false">HYPERLINK("https://www.fabsurplus.com/sdi_catalog/salesItemDetails.do?id=98121")</f>
        <v>https://www.fabsurplus.com/sdi_catalog/salesItemDetails.do?id=98121</v>
      </c>
      <c r="B1325" s="6" t="s">
        <v>3179</v>
      </c>
      <c r="C1325" s="6" t="s">
        <v>3092</v>
      </c>
      <c r="D1325" s="6" t="s">
        <v>3178</v>
      </c>
      <c r="E1325" s="6" t="s">
        <v>3132</v>
      </c>
      <c r="F1325" s="6" t="s">
        <v>16</v>
      </c>
      <c r="G1325" s="6" t="s">
        <v>310</v>
      </c>
      <c r="H1325" s="6"/>
      <c r="I1325" s="7" t="n">
        <v>38504</v>
      </c>
      <c r="J1325" s="6" t="s">
        <v>19</v>
      </c>
      <c r="K1325" s="6"/>
    </row>
    <row r="1326" customFormat="false" ht="12.8" hidden="false" customHeight="false" outlineLevel="0" collapsed="false">
      <c r="A1326" s="6" t="str">
        <f aca="false">HYPERLINK("https://www.fabsurplus.com/sdi_catalog/salesItemDetails.do?id=100791")</f>
        <v>https://www.fabsurplus.com/sdi_catalog/salesItemDetails.do?id=100791</v>
      </c>
      <c r="B1326" s="6" t="s">
        <v>3180</v>
      </c>
      <c r="C1326" s="6" t="s">
        <v>3092</v>
      </c>
      <c r="D1326" s="6" t="s">
        <v>3178</v>
      </c>
      <c r="E1326" s="6" t="s">
        <v>109</v>
      </c>
      <c r="F1326" s="6" t="s">
        <v>16</v>
      </c>
      <c r="G1326" s="6" t="s">
        <v>310</v>
      </c>
      <c r="H1326" s="6"/>
      <c r="I1326" s="7" t="n">
        <v>39965</v>
      </c>
      <c r="J1326" s="6" t="s">
        <v>81</v>
      </c>
      <c r="K1326" s="6"/>
    </row>
    <row r="1327" customFormat="false" ht="12.8" hidden="false" customHeight="false" outlineLevel="0" collapsed="false">
      <c r="A1327" s="8" t="str">
        <f aca="false">HYPERLINK("https://www.fabsurplus.com/sdi_catalog/salesItemDetails.do?id=100729")</f>
        <v>https://www.fabsurplus.com/sdi_catalog/salesItemDetails.do?id=100729</v>
      </c>
      <c r="B1327" s="8" t="s">
        <v>3181</v>
      </c>
      <c r="C1327" s="8" t="s">
        <v>3092</v>
      </c>
      <c r="D1327" s="8" t="s">
        <v>3182</v>
      </c>
      <c r="E1327" s="8" t="s">
        <v>3129</v>
      </c>
      <c r="F1327" s="8" t="s">
        <v>16</v>
      </c>
      <c r="G1327" s="8"/>
      <c r="H1327" s="8"/>
      <c r="I1327" s="8"/>
      <c r="J1327" s="8" t="s">
        <v>19</v>
      </c>
      <c r="K1327" s="8"/>
    </row>
    <row r="1328" customFormat="false" ht="12.8" hidden="false" customHeight="false" outlineLevel="0" collapsed="false">
      <c r="A1328" s="8" t="str">
        <f aca="false">HYPERLINK("https://www.fabsurplus.com/sdi_catalog/salesItemDetails.do?id=97043")</f>
        <v>https://www.fabsurplus.com/sdi_catalog/salesItemDetails.do?id=97043</v>
      </c>
      <c r="B1328" s="8" t="s">
        <v>3183</v>
      </c>
      <c r="C1328" s="8" t="s">
        <v>3092</v>
      </c>
      <c r="D1328" s="8" t="s">
        <v>3184</v>
      </c>
      <c r="E1328" s="8" t="s">
        <v>3185</v>
      </c>
      <c r="F1328" s="8" t="s">
        <v>16</v>
      </c>
      <c r="G1328" s="8" t="s">
        <v>612</v>
      </c>
      <c r="H1328" s="8" t="s">
        <v>33</v>
      </c>
      <c r="I1328" s="9" t="n">
        <v>41791</v>
      </c>
      <c r="J1328" s="8" t="s">
        <v>19</v>
      </c>
      <c r="K1328" s="8" t="s">
        <v>20</v>
      </c>
    </row>
    <row r="1329" customFormat="false" ht="12.8" hidden="false" customHeight="false" outlineLevel="0" collapsed="false">
      <c r="A1329" s="6" t="str">
        <f aca="false">HYPERLINK("https://www.fabsurplus.com/sdi_catalog/salesItemDetails.do?id=100164")</f>
        <v>https://www.fabsurplus.com/sdi_catalog/salesItemDetails.do?id=100164</v>
      </c>
      <c r="B1329" s="6" t="s">
        <v>3186</v>
      </c>
      <c r="C1329" s="6" t="s">
        <v>3092</v>
      </c>
      <c r="D1329" s="6" t="s">
        <v>3187</v>
      </c>
      <c r="E1329" s="6" t="s">
        <v>1432</v>
      </c>
      <c r="F1329" s="6" t="s">
        <v>16</v>
      </c>
      <c r="G1329" s="6" t="s">
        <v>686</v>
      </c>
      <c r="H1329" s="6"/>
      <c r="I1329" s="7" t="n">
        <v>41548</v>
      </c>
      <c r="J1329" s="6" t="s">
        <v>19</v>
      </c>
      <c r="K1329" s="6"/>
    </row>
    <row r="1330" customFormat="false" ht="12.8" hidden="false" customHeight="false" outlineLevel="0" collapsed="false">
      <c r="A1330" s="6" t="str">
        <f aca="false">HYPERLINK("https://www.fabsurplus.com/sdi_catalog/salesItemDetails.do?id=98343")</f>
        <v>https://www.fabsurplus.com/sdi_catalog/salesItemDetails.do?id=98343</v>
      </c>
      <c r="B1330" s="6" t="s">
        <v>3188</v>
      </c>
      <c r="C1330" s="6" t="s">
        <v>307</v>
      </c>
      <c r="D1330" s="6" t="s">
        <v>3189</v>
      </c>
      <c r="E1330" s="6" t="s">
        <v>2931</v>
      </c>
      <c r="F1330" s="6" t="s">
        <v>16</v>
      </c>
      <c r="G1330" s="6" t="s">
        <v>32</v>
      </c>
      <c r="H1330" s="6"/>
      <c r="I1330" s="6"/>
      <c r="J1330" s="6" t="s">
        <v>81</v>
      </c>
      <c r="K1330" s="6"/>
    </row>
    <row r="1331" customFormat="false" ht="12.8" hidden="false" customHeight="false" outlineLevel="0" collapsed="false">
      <c r="A1331" s="6" t="str">
        <f aca="false">HYPERLINK("https://www.fabsurplus.com/sdi_catalog/salesItemDetails.do?id=98506")</f>
        <v>https://www.fabsurplus.com/sdi_catalog/salesItemDetails.do?id=98506</v>
      </c>
      <c r="B1331" s="6" t="s">
        <v>3190</v>
      </c>
      <c r="C1331" s="6" t="s">
        <v>3092</v>
      </c>
      <c r="D1331" s="6" t="s">
        <v>3191</v>
      </c>
      <c r="E1331" s="6" t="s">
        <v>3129</v>
      </c>
      <c r="F1331" s="6" t="s">
        <v>16</v>
      </c>
      <c r="G1331" s="6" t="s">
        <v>32</v>
      </c>
      <c r="H1331" s="6"/>
      <c r="I1331" s="6"/>
      <c r="J1331" s="6" t="s">
        <v>19</v>
      </c>
      <c r="K1331" s="6"/>
    </row>
    <row r="1332" customFormat="false" ht="12.8" hidden="false" customHeight="false" outlineLevel="0" collapsed="false">
      <c r="A1332" s="8" t="str">
        <f aca="false">HYPERLINK("https://www.fabsurplus.com/sdi_catalog/salesItemDetails.do?id=98207")</f>
        <v>https://www.fabsurplus.com/sdi_catalog/salesItemDetails.do?id=98207</v>
      </c>
      <c r="B1332" s="8" t="s">
        <v>3192</v>
      </c>
      <c r="C1332" s="8" t="s">
        <v>3193</v>
      </c>
      <c r="D1332" s="8" t="s">
        <v>3194</v>
      </c>
      <c r="E1332" s="8" t="s">
        <v>3195</v>
      </c>
      <c r="F1332" s="8" t="s">
        <v>16</v>
      </c>
      <c r="G1332" s="8" t="s">
        <v>32</v>
      </c>
      <c r="H1332" s="8"/>
      <c r="I1332" s="9" t="n">
        <v>35643</v>
      </c>
      <c r="J1332" s="8" t="s">
        <v>81</v>
      </c>
      <c r="K1332" s="8"/>
    </row>
    <row r="1333" customFormat="false" ht="12.8" hidden="false" customHeight="false" outlineLevel="0" collapsed="false">
      <c r="A1333" s="6" t="str">
        <f aca="false">HYPERLINK("https://www.fabsurplus.com/sdi_catalog/salesItemDetails.do?id=98208")</f>
        <v>https://www.fabsurplus.com/sdi_catalog/salesItemDetails.do?id=98208</v>
      </c>
      <c r="B1333" s="6" t="s">
        <v>3196</v>
      </c>
      <c r="C1333" s="6" t="s">
        <v>3197</v>
      </c>
      <c r="D1333" s="6" t="s">
        <v>3198</v>
      </c>
      <c r="E1333" s="6" t="s">
        <v>3195</v>
      </c>
      <c r="F1333" s="6" t="s">
        <v>16</v>
      </c>
      <c r="G1333" s="6" t="s">
        <v>310</v>
      </c>
      <c r="H1333" s="6"/>
      <c r="I1333" s="6"/>
      <c r="J1333" s="6" t="s">
        <v>81</v>
      </c>
      <c r="K1333" s="6"/>
    </row>
    <row r="1334" customFormat="false" ht="12.8" hidden="false" customHeight="false" outlineLevel="0" collapsed="false">
      <c r="A1334" s="8" t="str">
        <f aca="false">HYPERLINK("https://www.fabsurplus.com/sdi_catalog/salesItemDetails.do?id=100166")</f>
        <v>https://www.fabsurplus.com/sdi_catalog/salesItemDetails.do?id=100166</v>
      </c>
      <c r="B1334" s="8" t="s">
        <v>3199</v>
      </c>
      <c r="C1334" s="8" t="s">
        <v>3200</v>
      </c>
      <c r="D1334" s="8" t="s">
        <v>3201</v>
      </c>
      <c r="E1334" s="8" t="s">
        <v>3202</v>
      </c>
      <c r="F1334" s="8" t="s">
        <v>16</v>
      </c>
      <c r="G1334" s="8" t="s">
        <v>686</v>
      </c>
      <c r="H1334" s="8"/>
      <c r="I1334" s="9" t="n">
        <v>42156</v>
      </c>
      <c r="J1334" s="8" t="s">
        <v>19</v>
      </c>
      <c r="K1334" s="8"/>
    </row>
    <row r="1335" customFormat="false" ht="12.8" hidden="false" customHeight="false" outlineLevel="0" collapsed="false">
      <c r="A1335" s="6" t="str">
        <f aca="false">HYPERLINK("https://www.fabsurplus.com/sdi_catalog/salesItemDetails.do?id=100165")</f>
        <v>https://www.fabsurplus.com/sdi_catalog/salesItemDetails.do?id=100165</v>
      </c>
      <c r="B1335" s="6" t="s">
        <v>3203</v>
      </c>
      <c r="C1335" s="6" t="s">
        <v>3200</v>
      </c>
      <c r="D1335" s="6" t="s">
        <v>3201</v>
      </c>
      <c r="E1335" s="6" t="s">
        <v>3202</v>
      </c>
      <c r="F1335" s="6" t="s">
        <v>16</v>
      </c>
      <c r="G1335" s="6" t="s">
        <v>686</v>
      </c>
      <c r="H1335" s="6"/>
      <c r="I1335" s="7" t="n">
        <v>42156</v>
      </c>
      <c r="J1335" s="6" t="s">
        <v>19</v>
      </c>
      <c r="K1335" s="6"/>
    </row>
    <row r="1336" customFormat="false" ht="12.8" hidden="false" customHeight="false" outlineLevel="0" collapsed="false">
      <c r="A1336" s="8" t="str">
        <f aca="false">HYPERLINK("https://www.fabsurplus.com/sdi_catalog/salesItemDetails.do?id=97891")</f>
        <v>https://www.fabsurplus.com/sdi_catalog/salesItemDetails.do?id=97891</v>
      </c>
      <c r="B1336" s="8" t="s">
        <v>3204</v>
      </c>
      <c r="C1336" s="8" t="s">
        <v>3205</v>
      </c>
      <c r="D1336" s="8" t="s">
        <v>3206</v>
      </c>
      <c r="E1336" s="8" t="s">
        <v>719</v>
      </c>
      <c r="F1336" s="8" t="s">
        <v>16</v>
      </c>
      <c r="G1336" s="8" t="s">
        <v>880</v>
      </c>
      <c r="H1336" s="8"/>
      <c r="I1336" s="9" t="n">
        <v>41426</v>
      </c>
      <c r="J1336" s="8" t="s">
        <v>81</v>
      </c>
      <c r="K1336" s="8"/>
    </row>
    <row r="1337" customFormat="false" ht="12.8" hidden="false" customHeight="false" outlineLevel="0" collapsed="false">
      <c r="A1337" s="6" t="str">
        <f aca="false">HYPERLINK("https://www.fabsurplus.com/sdi_catalog/salesItemDetails.do?id=98392")</f>
        <v>https://www.fabsurplus.com/sdi_catalog/salesItemDetails.do?id=98392</v>
      </c>
      <c r="B1337" s="6" t="s">
        <v>3207</v>
      </c>
      <c r="C1337" s="6" t="s">
        <v>3208</v>
      </c>
      <c r="D1337" s="6" t="s">
        <v>3209</v>
      </c>
      <c r="E1337" s="6" t="s">
        <v>3210</v>
      </c>
      <c r="F1337" s="6" t="s">
        <v>16</v>
      </c>
      <c r="G1337" s="6" t="s">
        <v>372</v>
      </c>
      <c r="H1337" s="6" t="s">
        <v>167</v>
      </c>
      <c r="I1337" s="6"/>
      <c r="J1337" s="6" t="s">
        <v>19</v>
      </c>
      <c r="K1337" s="6" t="s">
        <v>20</v>
      </c>
    </row>
    <row r="1338" customFormat="false" ht="12.8" hidden="false" customHeight="false" outlineLevel="0" collapsed="false">
      <c r="A1338" s="6" t="str">
        <f aca="false">HYPERLINK("https://www.fabsurplus.com/sdi_catalog/salesItemDetails.do?id=97863")</f>
        <v>https://www.fabsurplus.com/sdi_catalog/salesItemDetails.do?id=97863</v>
      </c>
      <c r="B1338" s="6" t="s">
        <v>3211</v>
      </c>
      <c r="C1338" s="6" t="s">
        <v>3212</v>
      </c>
      <c r="D1338" s="6" t="s">
        <v>3213</v>
      </c>
      <c r="E1338" s="6" t="s">
        <v>3214</v>
      </c>
      <c r="F1338" s="6" t="s">
        <v>16</v>
      </c>
      <c r="G1338" s="6"/>
      <c r="H1338" s="6"/>
      <c r="I1338" s="6"/>
      <c r="J1338" s="6" t="s">
        <v>19</v>
      </c>
      <c r="K1338" s="6"/>
    </row>
    <row r="1339" customFormat="false" ht="12.8" hidden="false" customHeight="false" outlineLevel="0" collapsed="false">
      <c r="A1339" s="8" t="str">
        <f aca="false">HYPERLINK("https://www.fabsurplus.com/sdi_catalog/salesItemDetails.do?id=97929")</f>
        <v>https://www.fabsurplus.com/sdi_catalog/salesItemDetails.do?id=97929</v>
      </c>
      <c r="B1339" s="8" t="s">
        <v>3215</v>
      </c>
      <c r="C1339" s="8" t="s">
        <v>3216</v>
      </c>
      <c r="D1339" s="8" t="s">
        <v>3217</v>
      </c>
      <c r="E1339" s="8" t="s">
        <v>3218</v>
      </c>
      <c r="F1339" s="8" t="s">
        <v>16</v>
      </c>
      <c r="G1339" s="8" t="s">
        <v>3219</v>
      </c>
      <c r="H1339" s="8"/>
      <c r="I1339" s="8"/>
      <c r="J1339" s="8" t="s">
        <v>81</v>
      </c>
      <c r="K1339" s="8"/>
    </row>
    <row r="1340" customFormat="false" ht="12.8" hidden="false" customHeight="false" outlineLevel="0" collapsed="false">
      <c r="A1340" s="6" t="str">
        <f aca="false">HYPERLINK("https://www.fabsurplus.com/sdi_catalog/salesItemDetails.do?id=100356")</f>
        <v>https://www.fabsurplus.com/sdi_catalog/salesItemDetails.do?id=100356</v>
      </c>
      <c r="B1340" s="6" t="s">
        <v>3220</v>
      </c>
      <c r="C1340" s="6" t="s">
        <v>3221</v>
      </c>
      <c r="D1340" s="6" t="s">
        <v>3222</v>
      </c>
      <c r="E1340" s="6" t="s">
        <v>3223</v>
      </c>
      <c r="F1340" s="6" t="s">
        <v>611</v>
      </c>
      <c r="G1340" s="6"/>
      <c r="H1340" s="6" t="s">
        <v>18</v>
      </c>
      <c r="I1340" s="6"/>
      <c r="J1340" s="6" t="s">
        <v>19</v>
      </c>
      <c r="K1340" s="6"/>
    </row>
    <row r="1341" customFormat="false" ht="12.8" hidden="false" customHeight="false" outlineLevel="0" collapsed="false">
      <c r="A1341" s="6" t="str">
        <f aca="false">HYPERLINK("https://www.fabsurplus.com/sdi_catalog/salesItemDetails.do?id=98466")</f>
        <v>https://www.fabsurplus.com/sdi_catalog/salesItemDetails.do?id=98466</v>
      </c>
      <c r="B1341" s="6" t="s">
        <v>3224</v>
      </c>
      <c r="C1341" s="6" t="s">
        <v>3225</v>
      </c>
      <c r="D1341" s="6" t="s">
        <v>3226</v>
      </c>
      <c r="E1341" s="6" t="s">
        <v>1650</v>
      </c>
      <c r="F1341" s="6" t="s">
        <v>16</v>
      </c>
      <c r="G1341" s="6" t="s">
        <v>2132</v>
      </c>
      <c r="H1341" s="6"/>
      <c r="I1341" s="6"/>
      <c r="J1341" s="6" t="s">
        <v>19</v>
      </c>
      <c r="K1341" s="6"/>
    </row>
    <row r="1342" customFormat="false" ht="12.8" hidden="false" customHeight="false" outlineLevel="0" collapsed="false">
      <c r="A1342" s="8" t="str">
        <f aca="false">HYPERLINK("https://www.fabsurplus.com/sdi_catalog/salesItemDetails.do?id=98465")</f>
        <v>https://www.fabsurplus.com/sdi_catalog/salesItemDetails.do?id=98465</v>
      </c>
      <c r="B1342" s="8" t="s">
        <v>3227</v>
      </c>
      <c r="C1342" s="8" t="s">
        <v>3225</v>
      </c>
      <c r="D1342" s="8" t="s">
        <v>3226</v>
      </c>
      <c r="E1342" s="8" t="s">
        <v>1650</v>
      </c>
      <c r="F1342" s="8" t="s">
        <v>211</v>
      </c>
      <c r="G1342" s="8" t="s">
        <v>697</v>
      </c>
      <c r="H1342" s="8"/>
      <c r="I1342" s="8"/>
      <c r="J1342" s="8" t="s">
        <v>19</v>
      </c>
      <c r="K1342" s="8"/>
    </row>
    <row r="1343" customFormat="false" ht="12.8" hidden="false" customHeight="false" outlineLevel="0" collapsed="false">
      <c r="A1343" s="6" t="str">
        <f aca="false">HYPERLINK("https://www.fabsurplus.com/sdi_catalog/salesItemDetails.do?id=98814")</f>
        <v>https://www.fabsurplus.com/sdi_catalog/salesItemDetails.do?id=98814</v>
      </c>
      <c r="B1343" s="6" t="s">
        <v>3228</v>
      </c>
      <c r="C1343" s="6" t="s">
        <v>3229</v>
      </c>
      <c r="D1343" s="6" t="s">
        <v>3230</v>
      </c>
      <c r="E1343" s="6" t="s">
        <v>1432</v>
      </c>
      <c r="F1343" s="6" t="s">
        <v>16</v>
      </c>
      <c r="G1343" s="6" t="s">
        <v>310</v>
      </c>
      <c r="H1343" s="6"/>
      <c r="I1343" s="7" t="n">
        <v>40422</v>
      </c>
      <c r="J1343" s="6" t="s">
        <v>19</v>
      </c>
      <c r="K1343" s="6"/>
    </row>
    <row r="1344" customFormat="false" ht="12.8" hidden="false" customHeight="false" outlineLevel="0" collapsed="false">
      <c r="A1344" s="8" t="str">
        <f aca="false">HYPERLINK("https://www.fabsurplus.com/sdi_catalog/salesItemDetails.do?id=98815")</f>
        <v>https://www.fabsurplus.com/sdi_catalog/salesItemDetails.do?id=98815</v>
      </c>
      <c r="B1344" s="8" t="s">
        <v>3231</v>
      </c>
      <c r="C1344" s="8" t="s">
        <v>3229</v>
      </c>
      <c r="D1344" s="8" t="s">
        <v>3232</v>
      </c>
      <c r="E1344" s="8" t="s">
        <v>1681</v>
      </c>
      <c r="F1344" s="8" t="s">
        <v>16</v>
      </c>
      <c r="G1344" s="8" t="s">
        <v>310</v>
      </c>
      <c r="H1344" s="8"/>
      <c r="I1344" s="9" t="n">
        <v>40664</v>
      </c>
      <c r="J1344" s="8" t="s">
        <v>19</v>
      </c>
      <c r="K1344" s="8"/>
    </row>
    <row r="1345" customFormat="false" ht="12.8" hidden="false" customHeight="false" outlineLevel="0" collapsed="false">
      <c r="A1345" s="8" t="str">
        <f aca="false">HYPERLINK("https://www.fabsurplus.com/sdi_catalog/salesItemDetails.do?id=98226")</f>
        <v>https://www.fabsurplus.com/sdi_catalog/salesItemDetails.do?id=98226</v>
      </c>
      <c r="B1345" s="8" t="s">
        <v>3233</v>
      </c>
      <c r="C1345" s="8" t="s">
        <v>3234</v>
      </c>
      <c r="D1345" s="8" t="s">
        <v>3235</v>
      </c>
      <c r="E1345" s="8" t="s">
        <v>676</v>
      </c>
      <c r="F1345" s="8" t="s">
        <v>781</v>
      </c>
      <c r="G1345" s="8"/>
      <c r="H1345" s="8"/>
      <c r="I1345" s="8"/>
      <c r="J1345" s="8" t="s">
        <v>81</v>
      </c>
      <c r="K1345" s="8"/>
    </row>
    <row r="1346" customFormat="false" ht="12.8" hidden="false" customHeight="false" outlineLevel="0" collapsed="false">
      <c r="A1346" s="6" t="str">
        <f aca="false">HYPERLINK("https://www.fabsurplus.com/sdi_catalog/salesItemDetails.do?id=97892")</f>
        <v>https://www.fabsurplus.com/sdi_catalog/salesItemDetails.do?id=97892</v>
      </c>
      <c r="B1346" s="6" t="s">
        <v>3236</v>
      </c>
      <c r="C1346" s="6" t="s">
        <v>3237</v>
      </c>
      <c r="D1346" s="6" t="s">
        <v>3238</v>
      </c>
      <c r="E1346" s="6" t="s">
        <v>3239</v>
      </c>
      <c r="F1346" s="6" t="s">
        <v>16</v>
      </c>
      <c r="G1346" s="6" t="s">
        <v>38</v>
      </c>
      <c r="H1346" s="6"/>
      <c r="I1346" s="6"/>
      <c r="J1346" s="6" t="s">
        <v>81</v>
      </c>
      <c r="K1346" s="6"/>
    </row>
    <row r="1347" customFormat="false" ht="12.8" hidden="false" customHeight="false" outlineLevel="0" collapsed="false">
      <c r="A1347" s="6" t="str">
        <f aca="false">HYPERLINK("https://www.fabsurplus.com/sdi_catalog/salesItemDetails.do?id=98393")</f>
        <v>https://www.fabsurplus.com/sdi_catalog/salesItemDetails.do?id=98393</v>
      </c>
      <c r="B1347" s="6" t="s">
        <v>3240</v>
      </c>
      <c r="C1347" s="6" t="s">
        <v>3241</v>
      </c>
      <c r="D1347" s="6" t="s">
        <v>3242</v>
      </c>
      <c r="E1347" s="6" t="s">
        <v>3122</v>
      </c>
      <c r="F1347" s="6" t="s">
        <v>16</v>
      </c>
      <c r="G1347" s="6" t="s">
        <v>372</v>
      </c>
      <c r="H1347" s="6"/>
      <c r="I1347" s="6"/>
      <c r="J1347" s="6" t="s">
        <v>19</v>
      </c>
      <c r="K1347" s="6"/>
    </row>
    <row r="1348" customFormat="false" ht="12.8" hidden="false" customHeight="false" outlineLevel="0" collapsed="false">
      <c r="A1348" s="8" t="str">
        <f aca="false">HYPERLINK("https://www.fabsurplus.com/sdi_catalog/salesItemDetails.do?id=98394")</f>
        <v>https://www.fabsurplus.com/sdi_catalog/salesItemDetails.do?id=98394</v>
      </c>
      <c r="B1348" s="8" t="s">
        <v>3243</v>
      </c>
      <c r="C1348" s="8" t="s">
        <v>3241</v>
      </c>
      <c r="D1348" s="8" t="s">
        <v>3244</v>
      </c>
      <c r="E1348" s="8" t="s">
        <v>3122</v>
      </c>
      <c r="F1348" s="8" t="s">
        <v>16</v>
      </c>
      <c r="G1348" s="8" t="s">
        <v>372</v>
      </c>
      <c r="H1348" s="8"/>
      <c r="I1348" s="8"/>
      <c r="J1348" s="8" t="s">
        <v>19</v>
      </c>
      <c r="K1348" s="8"/>
    </row>
    <row r="1349" customFormat="false" ht="12.8" hidden="false" customHeight="false" outlineLevel="0" collapsed="false">
      <c r="A1349" s="8" t="str">
        <f aca="false">HYPERLINK("https://www.fabsurplus.com/sdi_catalog/salesItemDetails.do?id=98123")</f>
        <v>https://www.fabsurplus.com/sdi_catalog/salesItemDetails.do?id=98123</v>
      </c>
      <c r="B1349" s="8" t="s">
        <v>3245</v>
      </c>
      <c r="C1349" s="8" t="s">
        <v>3246</v>
      </c>
      <c r="D1349" s="8" t="s">
        <v>3247</v>
      </c>
      <c r="E1349" s="8" t="s">
        <v>3248</v>
      </c>
      <c r="F1349" s="8" t="s">
        <v>16</v>
      </c>
      <c r="G1349" s="8"/>
      <c r="H1349" s="8"/>
      <c r="I1349" s="9" t="n">
        <v>41791</v>
      </c>
      <c r="J1349" s="8" t="s">
        <v>19</v>
      </c>
      <c r="K1349" s="8"/>
    </row>
    <row r="1350" customFormat="false" ht="12.8" hidden="false" customHeight="false" outlineLevel="0" collapsed="false">
      <c r="A1350" s="6" t="str">
        <f aca="false">HYPERLINK("https://www.fabsurplus.com/sdi_catalog/salesItemDetails.do?id=98611")</f>
        <v>https://www.fabsurplus.com/sdi_catalog/salesItemDetails.do?id=98611</v>
      </c>
      <c r="B1350" s="6" t="s">
        <v>3249</v>
      </c>
      <c r="C1350" s="6" t="s">
        <v>3246</v>
      </c>
      <c r="D1350" s="6" t="s">
        <v>3250</v>
      </c>
      <c r="E1350" s="6" t="s">
        <v>3251</v>
      </c>
      <c r="F1350" s="6" t="s">
        <v>16</v>
      </c>
      <c r="G1350" s="6" t="s">
        <v>3252</v>
      </c>
      <c r="H1350" s="6"/>
      <c r="I1350" s="6"/>
      <c r="J1350" s="6" t="s">
        <v>19</v>
      </c>
      <c r="K1350" s="6"/>
    </row>
    <row r="1351" customFormat="false" ht="12.8" hidden="false" customHeight="false" outlineLevel="0" collapsed="false">
      <c r="A1351" s="8" t="str">
        <f aca="false">HYPERLINK("https://www.fabsurplus.com/sdi_catalog/salesItemDetails.do?id=97999")</f>
        <v>https://www.fabsurplus.com/sdi_catalog/salesItemDetails.do?id=97999</v>
      </c>
      <c r="B1351" s="8" t="s">
        <v>3253</v>
      </c>
      <c r="C1351" s="8" t="s">
        <v>3246</v>
      </c>
      <c r="D1351" s="8" t="s">
        <v>3254</v>
      </c>
      <c r="E1351" s="8" t="s">
        <v>3255</v>
      </c>
      <c r="F1351" s="8" t="s">
        <v>16</v>
      </c>
      <c r="G1351" s="8" t="s">
        <v>32</v>
      </c>
      <c r="H1351" s="8"/>
      <c r="I1351" s="9" t="n">
        <v>35217</v>
      </c>
      <c r="J1351" s="8" t="s">
        <v>19</v>
      </c>
      <c r="K1351" s="8"/>
    </row>
    <row r="1352" customFormat="false" ht="12.8" hidden="false" customHeight="false" outlineLevel="0" collapsed="false">
      <c r="A1352" s="6" t="str">
        <f aca="false">HYPERLINK("https://www.fabsurplus.com/sdi_catalog/salesItemDetails.do?id=98395")</f>
        <v>https://www.fabsurplus.com/sdi_catalog/salesItemDetails.do?id=98395</v>
      </c>
      <c r="B1352" s="6" t="s">
        <v>3256</v>
      </c>
      <c r="C1352" s="6" t="s">
        <v>3241</v>
      </c>
      <c r="D1352" s="6" t="s">
        <v>3257</v>
      </c>
      <c r="E1352" s="6" t="s">
        <v>3258</v>
      </c>
      <c r="F1352" s="6" t="s">
        <v>16</v>
      </c>
      <c r="G1352" s="6" t="s">
        <v>32</v>
      </c>
      <c r="H1352" s="6" t="s">
        <v>18</v>
      </c>
      <c r="I1352" s="6"/>
      <c r="J1352" s="6" t="s">
        <v>81</v>
      </c>
      <c r="K1352" s="6" t="s">
        <v>20</v>
      </c>
    </row>
    <row r="1353" customFormat="false" ht="12.8" hidden="false" customHeight="false" outlineLevel="0" collapsed="false">
      <c r="A1353" s="6" t="str">
        <f aca="false">HYPERLINK("https://www.fabsurplus.com/sdi_catalog/salesItemDetails.do?id=97895")</f>
        <v>https://www.fabsurplus.com/sdi_catalog/salesItemDetails.do?id=97895</v>
      </c>
      <c r="B1353" s="6" t="s">
        <v>3259</v>
      </c>
      <c r="C1353" s="6" t="s">
        <v>3260</v>
      </c>
      <c r="D1353" s="6" t="s">
        <v>3261</v>
      </c>
      <c r="E1353" s="6" t="s">
        <v>3262</v>
      </c>
      <c r="F1353" s="6" t="s">
        <v>16</v>
      </c>
      <c r="G1353" s="6"/>
      <c r="H1353" s="6"/>
      <c r="I1353" s="7" t="n">
        <v>41791</v>
      </c>
      <c r="J1353" s="6" t="s">
        <v>19</v>
      </c>
      <c r="K1353" s="6"/>
    </row>
    <row r="1354" customFormat="false" ht="12.8" hidden="false" customHeight="false" outlineLevel="0" collapsed="false">
      <c r="A1354" s="8" t="str">
        <f aca="false">HYPERLINK("https://www.fabsurplus.com/sdi_catalog/salesItemDetails.do?id=98396")</f>
        <v>https://www.fabsurplus.com/sdi_catalog/salesItemDetails.do?id=98396</v>
      </c>
      <c r="B1354" s="8" t="s">
        <v>3263</v>
      </c>
      <c r="C1354" s="8" t="s">
        <v>3264</v>
      </c>
      <c r="D1354" s="8" t="s">
        <v>3265</v>
      </c>
      <c r="E1354" s="8" t="s">
        <v>3266</v>
      </c>
      <c r="F1354" s="8" t="s">
        <v>16</v>
      </c>
      <c r="G1354" s="8" t="s">
        <v>32</v>
      </c>
      <c r="H1354" s="8"/>
      <c r="I1354" s="8"/>
      <c r="J1354" s="8" t="s">
        <v>19</v>
      </c>
      <c r="K1354" s="8"/>
    </row>
    <row r="1355" customFormat="false" ht="12.8" hidden="false" customHeight="false" outlineLevel="0" collapsed="false">
      <c r="A1355" s="6" t="str">
        <f aca="false">HYPERLINK("https://www.fabsurplus.com/sdi_catalog/salesItemDetails.do?id=98726")</f>
        <v>https://www.fabsurplus.com/sdi_catalog/salesItemDetails.do?id=98726</v>
      </c>
      <c r="B1355" s="6" t="s">
        <v>3267</v>
      </c>
      <c r="C1355" s="6" t="s">
        <v>320</v>
      </c>
      <c r="D1355" s="6" t="s">
        <v>3268</v>
      </c>
      <c r="E1355" s="6" t="s">
        <v>3269</v>
      </c>
      <c r="F1355" s="6" t="s">
        <v>16</v>
      </c>
      <c r="G1355" s="6" t="s">
        <v>417</v>
      </c>
      <c r="H1355" s="6" t="s">
        <v>18</v>
      </c>
      <c r="I1355" s="7" t="n">
        <v>39600</v>
      </c>
      <c r="J1355" s="6" t="s">
        <v>19</v>
      </c>
      <c r="K1355" s="6" t="s">
        <v>20</v>
      </c>
    </row>
    <row r="1356" customFormat="false" ht="12.8" hidden="false" customHeight="false" outlineLevel="0" collapsed="false">
      <c r="A1356" s="8" t="str">
        <f aca="false">HYPERLINK("https://www.fabsurplus.com/sdi_catalog/salesItemDetails.do?id=98727")</f>
        <v>https://www.fabsurplus.com/sdi_catalog/salesItemDetails.do?id=98727</v>
      </c>
      <c r="B1356" s="8" t="s">
        <v>3270</v>
      </c>
      <c r="C1356" s="8" t="s">
        <v>320</v>
      </c>
      <c r="D1356" s="8" t="s">
        <v>3271</v>
      </c>
      <c r="E1356" s="8" t="s">
        <v>3272</v>
      </c>
      <c r="F1356" s="8" t="s">
        <v>16</v>
      </c>
      <c r="G1356" s="8" t="s">
        <v>417</v>
      </c>
      <c r="H1356" s="8" t="s">
        <v>18</v>
      </c>
      <c r="I1356" s="9" t="n">
        <v>39600</v>
      </c>
      <c r="J1356" s="8" t="s">
        <v>19</v>
      </c>
      <c r="K1356" s="8" t="s">
        <v>20</v>
      </c>
    </row>
    <row r="1357" customFormat="false" ht="12.8" hidden="false" customHeight="false" outlineLevel="0" collapsed="false">
      <c r="A1357" s="6" t="str">
        <f aca="false">HYPERLINK("https://www.fabsurplus.com/sdi_catalog/salesItemDetails.do?id=98728")</f>
        <v>https://www.fabsurplus.com/sdi_catalog/salesItemDetails.do?id=98728</v>
      </c>
      <c r="B1357" s="6" t="s">
        <v>3273</v>
      </c>
      <c r="C1357" s="6" t="s">
        <v>320</v>
      </c>
      <c r="D1357" s="6" t="s">
        <v>3274</v>
      </c>
      <c r="E1357" s="6" t="s">
        <v>3275</v>
      </c>
      <c r="F1357" s="6" t="s">
        <v>16</v>
      </c>
      <c r="G1357" s="6" t="s">
        <v>417</v>
      </c>
      <c r="H1357" s="6" t="s">
        <v>18</v>
      </c>
      <c r="I1357" s="7" t="n">
        <v>39600</v>
      </c>
      <c r="J1357" s="6" t="s">
        <v>19</v>
      </c>
      <c r="K1357" s="6" t="s">
        <v>20</v>
      </c>
    </row>
    <row r="1358" customFormat="false" ht="12.8" hidden="false" customHeight="false" outlineLevel="0" collapsed="false">
      <c r="A1358" s="8" t="str">
        <f aca="false">HYPERLINK("https://www.fabsurplus.com/sdi_catalog/salesItemDetails.do?id=99001")</f>
        <v>https://www.fabsurplus.com/sdi_catalog/salesItemDetails.do?id=99001</v>
      </c>
      <c r="B1358" s="8" t="s">
        <v>3276</v>
      </c>
      <c r="C1358" s="8" t="s">
        <v>3277</v>
      </c>
      <c r="D1358" s="8" t="s">
        <v>3278</v>
      </c>
      <c r="E1358" s="8" t="s">
        <v>3279</v>
      </c>
      <c r="F1358" s="8" t="s">
        <v>16</v>
      </c>
      <c r="G1358" s="8"/>
      <c r="H1358" s="8"/>
      <c r="I1358" s="9" t="n">
        <v>40483</v>
      </c>
      <c r="J1358" s="8" t="s">
        <v>19</v>
      </c>
      <c r="K1358" s="8"/>
    </row>
    <row r="1359" customFormat="false" ht="12.8" hidden="false" customHeight="false" outlineLevel="0" collapsed="false">
      <c r="A1359" s="8" t="str">
        <f aca="false">HYPERLINK("https://www.fabsurplus.com/sdi_catalog/salesItemDetails.do?id=99830")</f>
        <v>https://www.fabsurplus.com/sdi_catalog/salesItemDetails.do?id=99830</v>
      </c>
      <c r="B1359" s="8" t="s">
        <v>3280</v>
      </c>
      <c r="C1359" s="8" t="s">
        <v>3281</v>
      </c>
      <c r="D1359" s="8" t="s">
        <v>3282</v>
      </c>
      <c r="E1359" s="8" t="s">
        <v>3283</v>
      </c>
      <c r="F1359" s="8" t="s">
        <v>16</v>
      </c>
      <c r="G1359" s="8" t="s">
        <v>310</v>
      </c>
      <c r="H1359" s="8" t="s">
        <v>18</v>
      </c>
      <c r="I1359" s="9" t="n">
        <v>40603</v>
      </c>
      <c r="J1359" s="8" t="s">
        <v>19</v>
      </c>
      <c r="K1359" s="8" t="s">
        <v>20</v>
      </c>
    </row>
    <row r="1360" customFormat="false" ht="12.8" hidden="false" customHeight="false" outlineLevel="0" collapsed="false">
      <c r="A1360" s="6" t="str">
        <f aca="false">HYPERLINK("https://www.fabsurplus.com/sdi_catalog/salesItemDetails.do?id=98000")</f>
        <v>https://www.fabsurplus.com/sdi_catalog/salesItemDetails.do?id=98000</v>
      </c>
      <c r="B1360" s="6" t="s">
        <v>3284</v>
      </c>
      <c r="C1360" s="6" t="s">
        <v>3277</v>
      </c>
      <c r="D1360" s="6" t="s">
        <v>3285</v>
      </c>
      <c r="E1360" s="6" t="s">
        <v>3286</v>
      </c>
      <c r="F1360" s="6" t="s">
        <v>16</v>
      </c>
      <c r="G1360" s="6" t="s">
        <v>310</v>
      </c>
      <c r="H1360" s="6"/>
      <c r="I1360" s="7" t="n">
        <v>38869</v>
      </c>
      <c r="J1360" s="6" t="s">
        <v>19</v>
      </c>
      <c r="K1360" s="6"/>
    </row>
    <row r="1361" customFormat="false" ht="12.8" hidden="false" customHeight="false" outlineLevel="0" collapsed="false">
      <c r="A1361" s="8" t="str">
        <f aca="false">HYPERLINK("https://www.fabsurplus.com/sdi_catalog/salesItemDetails.do?id=97200")</f>
        <v>https://www.fabsurplus.com/sdi_catalog/salesItemDetails.do?id=97200</v>
      </c>
      <c r="B1361" s="8" t="s">
        <v>3287</v>
      </c>
      <c r="C1361" s="8" t="s">
        <v>3288</v>
      </c>
      <c r="D1361" s="8" t="s">
        <v>3289</v>
      </c>
      <c r="E1361" s="8" t="s">
        <v>2212</v>
      </c>
      <c r="F1361" s="8" t="s">
        <v>16</v>
      </c>
      <c r="G1361" s="8" t="s">
        <v>434</v>
      </c>
      <c r="H1361" s="8"/>
      <c r="I1361" s="9" t="n">
        <v>39600</v>
      </c>
      <c r="J1361" s="8" t="s">
        <v>19</v>
      </c>
      <c r="K1361" s="8"/>
    </row>
    <row r="1362" customFormat="false" ht="12.8" hidden="false" customHeight="false" outlineLevel="0" collapsed="false">
      <c r="A1362" s="8" t="str">
        <f aca="false">HYPERLINK("https://www.fabsurplus.com/sdi_catalog/salesItemDetails.do?id=99393")</f>
        <v>https://www.fabsurplus.com/sdi_catalog/salesItemDetails.do?id=99393</v>
      </c>
      <c r="B1362" s="8" t="s">
        <v>3290</v>
      </c>
      <c r="C1362" s="8" t="s">
        <v>3291</v>
      </c>
      <c r="D1362" s="8" t="s">
        <v>3292</v>
      </c>
      <c r="E1362" s="8" t="s">
        <v>2448</v>
      </c>
      <c r="F1362" s="8" t="s">
        <v>16</v>
      </c>
      <c r="G1362" s="8"/>
      <c r="H1362" s="8" t="s">
        <v>18</v>
      </c>
      <c r="I1362" s="8"/>
      <c r="J1362" s="8" t="s">
        <v>19</v>
      </c>
      <c r="K1362" s="8" t="s">
        <v>20</v>
      </c>
    </row>
    <row r="1363" customFormat="false" ht="12.8" hidden="false" customHeight="false" outlineLevel="0" collapsed="false">
      <c r="A1363" s="6" t="str">
        <f aca="false">HYPERLINK("https://www.fabsurplus.com/sdi_catalog/salesItemDetails.do?id=98529")</f>
        <v>https://www.fabsurplus.com/sdi_catalog/salesItemDetails.do?id=98529</v>
      </c>
      <c r="B1363" s="6" t="s">
        <v>3293</v>
      </c>
      <c r="C1363" s="6" t="s">
        <v>3294</v>
      </c>
      <c r="D1363" s="6" t="s">
        <v>3295</v>
      </c>
      <c r="E1363" s="6" t="s">
        <v>2430</v>
      </c>
      <c r="F1363" s="6" t="s">
        <v>16</v>
      </c>
      <c r="G1363" s="6" t="s">
        <v>328</v>
      </c>
      <c r="H1363" s="6"/>
      <c r="I1363" s="6"/>
      <c r="J1363" s="6" t="s">
        <v>19</v>
      </c>
      <c r="K1363" s="6"/>
    </row>
    <row r="1364" customFormat="false" ht="12.8" hidden="false" customHeight="false" outlineLevel="0" collapsed="false">
      <c r="A1364" s="6" t="str">
        <f aca="false">HYPERLINK("https://www.fabsurplus.com/sdi_catalog/salesItemDetails.do?id=99962")</f>
        <v>https://www.fabsurplus.com/sdi_catalog/salesItemDetails.do?id=99962</v>
      </c>
      <c r="B1364" s="6" t="s">
        <v>3296</v>
      </c>
      <c r="C1364" s="6" t="s">
        <v>3294</v>
      </c>
      <c r="D1364" s="6" t="s">
        <v>3297</v>
      </c>
      <c r="E1364" s="6" t="s">
        <v>3298</v>
      </c>
      <c r="F1364" s="6" t="s">
        <v>16</v>
      </c>
      <c r="G1364" s="6"/>
      <c r="H1364" s="6" t="s">
        <v>33</v>
      </c>
      <c r="I1364" s="6"/>
      <c r="J1364" s="6" t="s">
        <v>19</v>
      </c>
      <c r="K1364" s="6" t="s">
        <v>3299</v>
      </c>
    </row>
    <row r="1365" customFormat="false" ht="12.8" hidden="false" customHeight="false" outlineLevel="0" collapsed="false">
      <c r="A1365" s="6" t="str">
        <f aca="false">HYPERLINK("https://www.fabsurplus.com/sdi_catalog/salesItemDetails.do?id=97841")</f>
        <v>https://www.fabsurplus.com/sdi_catalog/salesItemDetails.do?id=97841</v>
      </c>
      <c r="B1365" s="6" t="s">
        <v>3300</v>
      </c>
      <c r="C1365" s="6" t="s">
        <v>3294</v>
      </c>
      <c r="D1365" s="6" t="s">
        <v>3301</v>
      </c>
      <c r="E1365" s="6" t="s">
        <v>3302</v>
      </c>
      <c r="F1365" s="6" t="s">
        <v>16</v>
      </c>
      <c r="G1365" s="6"/>
      <c r="H1365" s="6" t="s">
        <v>18</v>
      </c>
      <c r="I1365" s="6"/>
      <c r="J1365" s="6" t="s">
        <v>19</v>
      </c>
      <c r="K1365" s="6" t="s">
        <v>20</v>
      </c>
    </row>
    <row r="1366" customFormat="false" ht="12.8" hidden="false" customHeight="false" outlineLevel="0" collapsed="false">
      <c r="A1366" s="6" t="str">
        <f aca="false">HYPERLINK("https://www.fabsurplus.com/sdi_catalog/salesItemDetails.do?id=99415")</f>
        <v>https://www.fabsurplus.com/sdi_catalog/salesItemDetails.do?id=99415</v>
      </c>
      <c r="B1366" s="6" t="s">
        <v>3303</v>
      </c>
      <c r="C1366" s="6" t="s">
        <v>3294</v>
      </c>
      <c r="D1366" s="6" t="s">
        <v>3304</v>
      </c>
      <c r="E1366" s="6" t="s">
        <v>3305</v>
      </c>
      <c r="F1366" s="6" t="s">
        <v>16</v>
      </c>
      <c r="G1366" s="6" t="s">
        <v>328</v>
      </c>
      <c r="H1366" s="6"/>
      <c r="I1366" s="6"/>
      <c r="J1366" s="6" t="s">
        <v>19</v>
      </c>
      <c r="K1366" s="6"/>
    </row>
    <row r="1367" customFormat="false" ht="12.8" hidden="false" customHeight="false" outlineLevel="0" collapsed="false">
      <c r="A1367" s="8" t="str">
        <f aca="false">HYPERLINK("https://www.fabsurplus.com/sdi_catalog/salesItemDetails.do?id=99416")</f>
        <v>https://www.fabsurplus.com/sdi_catalog/salesItemDetails.do?id=99416</v>
      </c>
      <c r="B1367" s="8" t="s">
        <v>3306</v>
      </c>
      <c r="C1367" s="8" t="s">
        <v>3294</v>
      </c>
      <c r="D1367" s="8" t="s">
        <v>3307</v>
      </c>
      <c r="E1367" s="8" t="s">
        <v>3308</v>
      </c>
      <c r="F1367" s="8" t="s">
        <v>16</v>
      </c>
      <c r="G1367" s="8" t="s">
        <v>328</v>
      </c>
      <c r="H1367" s="8"/>
      <c r="I1367" s="8"/>
      <c r="J1367" s="8" t="s">
        <v>19</v>
      </c>
      <c r="K1367" s="8"/>
    </row>
    <row r="1368" customFormat="false" ht="12.8" hidden="false" customHeight="false" outlineLevel="0" collapsed="false">
      <c r="A1368" s="8" t="str">
        <f aca="false">HYPERLINK("https://www.fabsurplus.com/sdi_catalog/salesItemDetails.do?id=100645")</f>
        <v>https://www.fabsurplus.com/sdi_catalog/salesItemDetails.do?id=100645</v>
      </c>
      <c r="B1368" s="8" t="s">
        <v>3309</v>
      </c>
      <c r="C1368" s="8" t="s">
        <v>3294</v>
      </c>
      <c r="D1368" s="8" t="s">
        <v>3310</v>
      </c>
      <c r="E1368" s="8" t="s">
        <v>2448</v>
      </c>
      <c r="F1368" s="8" t="s">
        <v>16</v>
      </c>
      <c r="G1368" s="8"/>
      <c r="H1368" s="8"/>
      <c r="I1368" s="8"/>
      <c r="J1368" s="8" t="s">
        <v>19</v>
      </c>
      <c r="K1368" s="8"/>
    </row>
    <row r="1369" customFormat="false" ht="12.8" hidden="false" customHeight="false" outlineLevel="0" collapsed="false">
      <c r="A1369" s="6" t="str">
        <f aca="false">HYPERLINK("https://www.fabsurplus.com/sdi_catalog/salesItemDetails.do?id=100644")</f>
        <v>https://www.fabsurplus.com/sdi_catalog/salesItemDetails.do?id=100644</v>
      </c>
      <c r="B1369" s="6" t="s">
        <v>3311</v>
      </c>
      <c r="C1369" s="6" t="s">
        <v>3294</v>
      </c>
      <c r="D1369" s="6" t="s">
        <v>3310</v>
      </c>
      <c r="E1369" s="6" t="s">
        <v>2448</v>
      </c>
      <c r="F1369" s="6" t="s">
        <v>211</v>
      </c>
      <c r="G1369" s="6"/>
      <c r="H1369" s="6"/>
      <c r="I1369" s="6"/>
      <c r="J1369" s="6" t="s">
        <v>19</v>
      </c>
      <c r="K1369" s="6"/>
    </row>
    <row r="1370" customFormat="false" ht="12.8" hidden="false" customHeight="false" outlineLevel="0" collapsed="false">
      <c r="A1370" s="6" t="str">
        <f aca="false">HYPERLINK("https://www.fabsurplus.com/sdi_catalog/salesItemDetails.do?id=100171")</f>
        <v>https://www.fabsurplus.com/sdi_catalog/salesItemDetails.do?id=100171</v>
      </c>
      <c r="B1370" s="6" t="s">
        <v>3312</v>
      </c>
      <c r="C1370" s="6" t="s">
        <v>3294</v>
      </c>
      <c r="D1370" s="6" t="s">
        <v>3313</v>
      </c>
      <c r="E1370" s="6" t="s">
        <v>2463</v>
      </c>
      <c r="F1370" s="6" t="s">
        <v>16</v>
      </c>
      <c r="G1370" s="6" t="s">
        <v>697</v>
      </c>
      <c r="H1370" s="6"/>
      <c r="I1370" s="7" t="n">
        <v>36617</v>
      </c>
      <c r="J1370" s="6" t="s">
        <v>19</v>
      </c>
      <c r="K1370" s="6"/>
    </row>
    <row r="1371" customFormat="false" ht="12.8" hidden="false" customHeight="false" outlineLevel="0" collapsed="false">
      <c r="A1371" s="8" t="str">
        <f aca="false">HYPERLINK("https://www.fabsurplus.com/sdi_catalog/salesItemDetails.do?id=100170")</f>
        <v>https://www.fabsurplus.com/sdi_catalog/salesItemDetails.do?id=100170</v>
      </c>
      <c r="B1371" s="8" t="s">
        <v>3314</v>
      </c>
      <c r="C1371" s="8" t="s">
        <v>3294</v>
      </c>
      <c r="D1371" s="8" t="s">
        <v>3313</v>
      </c>
      <c r="E1371" s="8" t="s">
        <v>2463</v>
      </c>
      <c r="F1371" s="8" t="s">
        <v>16</v>
      </c>
      <c r="G1371" s="8" t="s">
        <v>697</v>
      </c>
      <c r="H1371" s="8"/>
      <c r="I1371" s="8"/>
      <c r="J1371" s="8" t="s">
        <v>19</v>
      </c>
      <c r="K1371" s="8"/>
    </row>
    <row r="1372" customFormat="false" ht="12.8" hidden="false" customHeight="false" outlineLevel="0" collapsed="false">
      <c r="A1372" s="6" t="str">
        <f aca="false">HYPERLINK("https://www.fabsurplus.com/sdi_catalog/salesItemDetails.do?id=100169")</f>
        <v>https://www.fabsurplus.com/sdi_catalog/salesItemDetails.do?id=100169</v>
      </c>
      <c r="B1372" s="6" t="s">
        <v>3315</v>
      </c>
      <c r="C1372" s="6" t="s">
        <v>3294</v>
      </c>
      <c r="D1372" s="6" t="s">
        <v>3313</v>
      </c>
      <c r="E1372" s="6" t="s">
        <v>2463</v>
      </c>
      <c r="F1372" s="6" t="s">
        <v>16</v>
      </c>
      <c r="G1372" s="6" t="s">
        <v>697</v>
      </c>
      <c r="H1372" s="6"/>
      <c r="I1372" s="6"/>
      <c r="J1372" s="6" t="s">
        <v>19</v>
      </c>
      <c r="K1372" s="6"/>
    </row>
    <row r="1373" customFormat="false" ht="12.8" hidden="false" customHeight="false" outlineLevel="0" collapsed="false">
      <c r="A1373" s="8" t="str">
        <f aca="false">HYPERLINK("https://www.fabsurplus.com/sdi_catalog/salesItemDetails.do?id=100168")</f>
        <v>https://www.fabsurplus.com/sdi_catalog/salesItemDetails.do?id=100168</v>
      </c>
      <c r="B1373" s="8" t="s">
        <v>3316</v>
      </c>
      <c r="C1373" s="8" t="s">
        <v>3294</v>
      </c>
      <c r="D1373" s="8" t="s">
        <v>3313</v>
      </c>
      <c r="E1373" s="8" t="s">
        <v>2463</v>
      </c>
      <c r="F1373" s="8" t="s">
        <v>16</v>
      </c>
      <c r="G1373" s="8" t="s">
        <v>697</v>
      </c>
      <c r="H1373" s="8"/>
      <c r="I1373" s="9" t="n">
        <v>28185</v>
      </c>
      <c r="J1373" s="8" t="s">
        <v>19</v>
      </c>
      <c r="K1373" s="8"/>
    </row>
    <row r="1374" customFormat="false" ht="12.8" hidden="false" customHeight="false" outlineLevel="0" collapsed="false">
      <c r="A1374" s="6" t="str">
        <f aca="false">HYPERLINK("https://www.fabsurplus.com/sdi_catalog/salesItemDetails.do?id=100167")</f>
        <v>https://www.fabsurplus.com/sdi_catalog/salesItemDetails.do?id=100167</v>
      </c>
      <c r="B1374" s="6" t="s">
        <v>3317</v>
      </c>
      <c r="C1374" s="6" t="s">
        <v>3294</v>
      </c>
      <c r="D1374" s="6" t="s">
        <v>3313</v>
      </c>
      <c r="E1374" s="6" t="s">
        <v>2463</v>
      </c>
      <c r="F1374" s="6" t="s">
        <v>16</v>
      </c>
      <c r="G1374" s="6" t="s">
        <v>697</v>
      </c>
      <c r="H1374" s="6"/>
      <c r="I1374" s="7" t="n">
        <v>28185</v>
      </c>
      <c r="J1374" s="6" t="s">
        <v>19</v>
      </c>
      <c r="K1374" s="6"/>
    </row>
    <row r="1375" customFormat="false" ht="12.8" hidden="false" customHeight="false" outlineLevel="0" collapsed="false">
      <c r="A1375" s="6" t="str">
        <f aca="false">HYPERLINK("https://www.fabsurplus.com/sdi_catalog/salesItemDetails.do?id=98397")</f>
        <v>https://www.fabsurplus.com/sdi_catalog/salesItemDetails.do?id=98397</v>
      </c>
      <c r="B1375" s="6" t="s">
        <v>3318</v>
      </c>
      <c r="C1375" s="6" t="s">
        <v>3294</v>
      </c>
      <c r="D1375" s="6" t="s">
        <v>3319</v>
      </c>
      <c r="E1375" s="6" t="s">
        <v>3320</v>
      </c>
      <c r="F1375" s="6" t="s">
        <v>16</v>
      </c>
      <c r="G1375" s="6" t="s">
        <v>32</v>
      </c>
      <c r="H1375" s="6"/>
      <c r="I1375" s="6"/>
      <c r="J1375" s="6" t="s">
        <v>19</v>
      </c>
      <c r="K1375" s="6"/>
    </row>
    <row r="1376" customFormat="false" ht="12.8" hidden="false" customHeight="false" outlineLevel="0" collapsed="false">
      <c r="A1376" s="8" t="str">
        <f aca="false">HYPERLINK("https://www.fabsurplus.com/sdi_catalog/salesItemDetails.do?id=99183")</f>
        <v>https://www.fabsurplus.com/sdi_catalog/salesItemDetails.do?id=99183</v>
      </c>
      <c r="B1376" s="8" t="s">
        <v>3321</v>
      </c>
      <c r="C1376" s="8" t="s">
        <v>3294</v>
      </c>
      <c r="D1376" s="8" t="s">
        <v>3322</v>
      </c>
      <c r="E1376" s="8" t="s">
        <v>2430</v>
      </c>
      <c r="F1376" s="8" t="s">
        <v>16</v>
      </c>
      <c r="G1376" s="8"/>
      <c r="H1376" s="8"/>
      <c r="I1376" s="8"/>
      <c r="J1376" s="8" t="s">
        <v>19</v>
      </c>
      <c r="K1376" s="8"/>
    </row>
    <row r="1377" customFormat="false" ht="12.8" hidden="false" customHeight="false" outlineLevel="0" collapsed="false">
      <c r="A1377" s="6" t="str">
        <f aca="false">HYPERLINK("https://www.fabsurplus.com/sdi_catalog/salesItemDetails.do?id=97932")</f>
        <v>https://www.fabsurplus.com/sdi_catalog/salesItemDetails.do?id=97932</v>
      </c>
      <c r="B1377" s="6" t="s">
        <v>3323</v>
      </c>
      <c r="C1377" s="6" t="s">
        <v>3294</v>
      </c>
      <c r="D1377" s="6" t="s">
        <v>3324</v>
      </c>
      <c r="E1377" s="6" t="s">
        <v>1911</v>
      </c>
      <c r="F1377" s="6" t="s">
        <v>3325</v>
      </c>
      <c r="G1377" s="6" t="s">
        <v>1851</v>
      </c>
      <c r="H1377" s="6"/>
      <c r="I1377" s="6"/>
      <c r="J1377" s="6" t="s">
        <v>81</v>
      </c>
      <c r="K1377" s="6"/>
    </row>
    <row r="1378" customFormat="false" ht="12.8" hidden="false" customHeight="false" outlineLevel="0" collapsed="false">
      <c r="A1378" s="8" t="str">
        <f aca="false">HYPERLINK("https://www.fabsurplus.com/sdi_catalog/salesItemDetails.do?id=98530")</f>
        <v>https://www.fabsurplus.com/sdi_catalog/salesItemDetails.do?id=98530</v>
      </c>
      <c r="B1378" s="8" t="s">
        <v>3326</v>
      </c>
      <c r="C1378" s="8" t="s">
        <v>3294</v>
      </c>
      <c r="D1378" s="8" t="s">
        <v>3327</v>
      </c>
      <c r="E1378" s="8" t="s">
        <v>2430</v>
      </c>
      <c r="F1378" s="8" t="s">
        <v>16</v>
      </c>
      <c r="G1378" s="8" t="s">
        <v>328</v>
      </c>
      <c r="H1378" s="8"/>
      <c r="I1378" s="8"/>
      <c r="J1378" s="8" t="s">
        <v>19</v>
      </c>
      <c r="K1378" s="8"/>
    </row>
    <row r="1379" customFormat="false" ht="12.8" hidden="false" customHeight="false" outlineLevel="0" collapsed="false">
      <c r="A1379" s="8" t="str">
        <f aca="false">HYPERLINK("https://www.fabsurplus.com/sdi_catalog/salesItemDetails.do?id=97933")</f>
        <v>https://www.fabsurplus.com/sdi_catalog/salesItemDetails.do?id=97933</v>
      </c>
      <c r="B1379" s="8" t="s">
        <v>3328</v>
      </c>
      <c r="C1379" s="8" t="s">
        <v>3294</v>
      </c>
      <c r="D1379" s="8" t="s">
        <v>3327</v>
      </c>
      <c r="E1379" s="8" t="s">
        <v>1911</v>
      </c>
      <c r="F1379" s="8" t="s">
        <v>16</v>
      </c>
      <c r="G1379" s="8" t="s">
        <v>1851</v>
      </c>
      <c r="H1379" s="8"/>
      <c r="I1379" s="8"/>
      <c r="J1379" s="8" t="s">
        <v>81</v>
      </c>
      <c r="K1379" s="8"/>
    </row>
    <row r="1380" customFormat="false" ht="12.8" hidden="false" customHeight="false" outlineLevel="0" collapsed="false">
      <c r="A1380" s="6" t="str">
        <f aca="false">HYPERLINK("https://www.fabsurplus.com/sdi_catalog/salesItemDetails.do?id=100858")</f>
        <v>https://www.fabsurplus.com/sdi_catalog/salesItemDetails.do?id=100858</v>
      </c>
      <c r="B1380" s="6" t="s">
        <v>3329</v>
      </c>
      <c r="C1380" s="6" t="s">
        <v>3294</v>
      </c>
      <c r="D1380" s="6" t="s">
        <v>3330</v>
      </c>
      <c r="E1380" s="6" t="s">
        <v>3331</v>
      </c>
      <c r="F1380" s="6" t="s">
        <v>16</v>
      </c>
      <c r="G1380" s="6" t="s">
        <v>328</v>
      </c>
      <c r="H1380" s="6"/>
      <c r="I1380" s="7" t="n">
        <v>42156</v>
      </c>
      <c r="J1380" s="6" t="s">
        <v>19</v>
      </c>
      <c r="K1380" s="6"/>
    </row>
    <row r="1381" customFormat="false" ht="12.8" hidden="false" customHeight="false" outlineLevel="0" collapsed="false">
      <c r="A1381" s="8" t="str">
        <f aca="false">HYPERLINK("https://www.fabsurplus.com/sdi_catalog/salesItemDetails.do?id=100857")</f>
        <v>https://www.fabsurplus.com/sdi_catalog/salesItemDetails.do?id=100857</v>
      </c>
      <c r="B1381" s="8" t="s">
        <v>3332</v>
      </c>
      <c r="C1381" s="8" t="s">
        <v>3294</v>
      </c>
      <c r="D1381" s="8" t="s">
        <v>3330</v>
      </c>
      <c r="E1381" s="8" t="s">
        <v>3331</v>
      </c>
      <c r="F1381" s="8" t="s">
        <v>16</v>
      </c>
      <c r="G1381" s="8" t="s">
        <v>328</v>
      </c>
      <c r="H1381" s="8"/>
      <c r="I1381" s="9" t="n">
        <v>42156</v>
      </c>
      <c r="J1381" s="8" t="s">
        <v>19</v>
      </c>
      <c r="K1381" s="8"/>
    </row>
    <row r="1382" customFormat="false" ht="12.8" hidden="false" customHeight="false" outlineLevel="0" collapsed="false">
      <c r="A1382" s="8" t="str">
        <f aca="false">HYPERLINK("https://www.fabsurplus.com/sdi_catalog/salesItemDetails.do?id=99172")</f>
        <v>https://www.fabsurplus.com/sdi_catalog/salesItemDetails.do?id=99172</v>
      </c>
      <c r="B1382" s="8" t="s">
        <v>3333</v>
      </c>
      <c r="C1382" s="8" t="s">
        <v>3334</v>
      </c>
      <c r="D1382" s="8" t="s">
        <v>3335</v>
      </c>
      <c r="E1382" s="8" t="s">
        <v>3336</v>
      </c>
      <c r="F1382" s="8" t="s">
        <v>16</v>
      </c>
      <c r="G1382" s="8" t="s">
        <v>686</v>
      </c>
      <c r="H1382" s="8"/>
      <c r="I1382" s="8"/>
      <c r="J1382" s="8" t="s">
        <v>19</v>
      </c>
      <c r="K1382" s="8"/>
    </row>
    <row r="1383" customFormat="false" ht="12.8" hidden="false" customHeight="false" outlineLevel="0" collapsed="false">
      <c r="A1383" s="6" t="str">
        <f aca="false">HYPERLINK("https://www.fabsurplus.com/sdi_catalog/salesItemDetails.do?id=99171")</f>
        <v>https://www.fabsurplus.com/sdi_catalog/salesItemDetails.do?id=99171</v>
      </c>
      <c r="B1383" s="6" t="s">
        <v>3337</v>
      </c>
      <c r="C1383" s="6" t="s">
        <v>3334</v>
      </c>
      <c r="D1383" s="6" t="s">
        <v>3335</v>
      </c>
      <c r="E1383" s="6" t="s">
        <v>3336</v>
      </c>
      <c r="F1383" s="6" t="s">
        <v>16</v>
      </c>
      <c r="G1383" s="6" t="s">
        <v>686</v>
      </c>
      <c r="H1383" s="6"/>
      <c r="I1383" s="6"/>
      <c r="J1383" s="6" t="s">
        <v>19</v>
      </c>
      <c r="K1383" s="6"/>
    </row>
    <row r="1384" customFormat="false" ht="12.8" hidden="false" customHeight="false" outlineLevel="0" collapsed="false">
      <c r="A1384" s="8" t="str">
        <f aca="false">HYPERLINK("https://www.fabsurplus.com/sdi_catalog/salesItemDetails.do?id=99170")</f>
        <v>https://www.fabsurplus.com/sdi_catalog/salesItemDetails.do?id=99170</v>
      </c>
      <c r="B1384" s="8" t="s">
        <v>3338</v>
      </c>
      <c r="C1384" s="8" t="s">
        <v>3334</v>
      </c>
      <c r="D1384" s="8" t="s">
        <v>3335</v>
      </c>
      <c r="E1384" s="8" t="s">
        <v>3336</v>
      </c>
      <c r="F1384" s="8" t="s">
        <v>16</v>
      </c>
      <c r="G1384" s="8" t="s">
        <v>686</v>
      </c>
      <c r="H1384" s="8"/>
      <c r="I1384" s="8"/>
      <c r="J1384" s="8" t="s">
        <v>19</v>
      </c>
      <c r="K1384" s="8"/>
    </row>
    <row r="1385" customFormat="false" ht="12.8" hidden="false" customHeight="false" outlineLevel="0" collapsed="false">
      <c r="A1385" s="6" t="str">
        <f aca="false">HYPERLINK("https://www.fabsurplus.com/sdi_catalog/salesItemDetails.do?id=99169")</f>
        <v>https://www.fabsurplus.com/sdi_catalog/salesItemDetails.do?id=99169</v>
      </c>
      <c r="B1385" s="6" t="s">
        <v>3339</v>
      </c>
      <c r="C1385" s="6" t="s">
        <v>3334</v>
      </c>
      <c r="D1385" s="6" t="s">
        <v>3335</v>
      </c>
      <c r="E1385" s="6" t="s">
        <v>3336</v>
      </c>
      <c r="F1385" s="6" t="s">
        <v>16</v>
      </c>
      <c r="G1385" s="6" t="s">
        <v>686</v>
      </c>
      <c r="H1385" s="6"/>
      <c r="I1385" s="6"/>
      <c r="J1385" s="6" t="s">
        <v>19</v>
      </c>
      <c r="K1385" s="6"/>
    </row>
    <row r="1386" customFormat="false" ht="12.8" hidden="false" customHeight="false" outlineLevel="0" collapsed="false">
      <c r="A1386" s="8" t="str">
        <f aca="false">HYPERLINK("https://www.fabsurplus.com/sdi_catalog/salesItemDetails.do?id=99168")</f>
        <v>https://www.fabsurplus.com/sdi_catalog/salesItemDetails.do?id=99168</v>
      </c>
      <c r="B1386" s="8" t="s">
        <v>3340</v>
      </c>
      <c r="C1386" s="8" t="s">
        <v>3334</v>
      </c>
      <c r="D1386" s="8" t="s">
        <v>3335</v>
      </c>
      <c r="E1386" s="8" t="s">
        <v>3336</v>
      </c>
      <c r="F1386" s="8" t="s">
        <v>16</v>
      </c>
      <c r="G1386" s="8" t="s">
        <v>686</v>
      </c>
      <c r="H1386" s="8"/>
      <c r="I1386" s="8"/>
      <c r="J1386" s="8" t="s">
        <v>19</v>
      </c>
      <c r="K1386" s="8"/>
    </row>
    <row r="1387" customFormat="false" ht="12.8" hidden="false" customHeight="false" outlineLevel="0" collapsed="false">
      <c r="A1387" s="6" t="str">
        <f aca="false">HYPERLINK("https://www.fabsurplus.com/sdi_catalog/salesItemDetails.do?id=99167")</f>
        <v>https://www.fabsurplus.com/sdi_catalog/salesItemDetails.do?id=99167</v>
      </c>
      <c r="B1387" s="6" t="s">
        <v>3341</v>
      </c>
      <c r="C1387" s="6" t="s">
        <v>3334</v>
      </c>
      <c r="D1387" s="6" t="s">
        <v>3335</v>
      </c>
      <c r="E1387" s="6" t="s">
        <v>3336</v>
      </c>
      <c r="F1387" s="6" t="s">
        <v>16</v>
      </c>
      <c r="G1387" s="6" t="s">
        <v>686</v>
      </c>
      <c r="H1387" s="6"/>
      <c r="I1387" s="6"/>
      <c r="J1387" s="6" t="s">
        <v>19</v>
      </c>
      <c r="K1387" s="6"/>
    </row>
    <row r="1388" customFormat="false" ht="12.8" hidden="false" customHeight="false" outlineLevel="0" collapsed="false">
      <c r="A1388" s="8" t="str">
        <f aca="false">HYPERLINK("https://www.fabsurplus.com/sdi_catalog/salesItemDetails.do?id=99166")</f>
        <v>https://www.fabsurplus.com/sdi_catalog/salesItemDetails.do?id=99166</v>
      </c>
      <c r="B1388" s="8" t="s">
        <v>3342</v>
      </c>
      <c r="C1388" s="8" t="s">
        <v>3334</v>
      </c>
      <c r="D1388" s="8" t="s">
        <v>3335</v>
      </c>
      <c r="E1388" s="8" t="s">
        <v>3336</v>
      </c>
      <c r="F1388" s="8" t="s">
        <v>16</v>
      </c>
      <c r="G1388" s="8" t="s">
        <v>686</v>
      </c>
      <c r="H1388" s="8"/>
      <c r="I1388" s="8"/>
      <c r="J1388" s="8" t="s">
        <v>19</v>
      </c>
      <c r="K1388" s="8"/>
    </row>
    <row r="1389" customFormat="false" ht="12.8" hidden="false" customHeight="false" outlineLevel="0" collapsed="false">
      <c r="A1389" s="6" t="str">
        <f aca="false">HYPERLINK("https://www.fabsurplus.com/sdi_catalog/salesItemDetails.do?id=96870")</f>
        <v>https://www.fabsurplus.com/sdi_catalog/salesItemDetails.do?id=96870</v>
      </c>
      <c r="B1389" s="6" t="s">
        <v>3343</v>
      </c>
      <c r="C1389" s="6" t="s">
        <v>3344</v>
      </c>
      <c r="D1389" s="6" t="s">
        <v>3345</v>
      </c>
      <c r="E1389" s="6" t="s">
        <v>2520</v>
      </c>
      <c r="F1389" s="6" t="s">
        <v>16</v>
      </c>
      <c r="G1389" s="6" t="s">
        <v>310</v>
      </c>
      <c r="H1389" s="6"/>
      <c r="I1389" s="6"/>
      <c r="J1389" s="6" t="s">
        <v>19</v>
      </c>
      <c r="K1389" s="6"/>
    </row>
    <row r="1390" customFormat="false" ht="12.8" hidden="false" customHeight="false" outlineLevel="0" collapsed="false">
      <c r="A1390" s="8" t="str">
        <f aca="false">HYPERLINK("https://www.fabsurplus.com/sdi_catalog/salesItemDetails.do?id=97625")</f>
        <v>https://www.fabsurplus.com/sdi_catalog/salesItemDetails.do?id=97625</v>
      </c>
      <c r="B1390" s="8" t="s">
        <v>3346</v>
      </c>
      <c r="C1390" s="8" t="s">
        <v>3344</v>
      </c>
      <c r="D1390" s="8" t="s">
        <v>3347</v>
      </c>
      <c r="E1390" s="8" t="s">
        <v>2515</v>
      </c>
      <c r="F1390" s="8" t="s">
        <v>16</v>
      </c>
      <c r="G1390" s="8" t="s">
        <v>310</v>
      </c>
      <c r="H1390" s="8"/>
      <c r="I1390" s="8"/>
      <c r="J1390" s="8" t="s">
        <v>19</v>
      </c>
      <c r="K1390" s="8"/>
    </row>
    <row r="1391" customFormat="false" ht="12.8" hidden="false" customHeight="false" outlineLevel="0" collapsed="false">
      <c r="A1391" s="6" t="str">
        <f aca="false">HYPERLINK("https://www.fabsurplus.com/sdi_catalog/salesItemDetails.do?id=97626")</f>
        <v>https://www.fabsurplus.com/sdi_catalog/salesItemDetails.do?id=97626</v>
      </c>
      <c r="B1391" s="6" t="s">
        <v>3348</v>
      </c>
      <c r="C1391" s="6" t="s">
        <v>3344</v>
      </c>
      <c r="D1391" s="6" t="s">
        <v>3349</v>
      </c>
      <c r="E1391" s="6" t="s">
        <v>2515</v>
      </c>
      <c r="F1391" s="6" t="s">
        <v>16</v>
      </c>
      <c r="G1391" s="6" t="s">
        <v>310</v>
      </c>
      <c r="H1391" s="6"/>
      <c r="I1391" s="6"/>
      <c r="J1391" s="6" t="s">
        <v>19</v>
      </c>
      <c r="K1391" s="6"/>
    </row>
    <row r="1392" customFormat="false" ht="12.8" hidden="false" customHeight="false" outlineLevel="0" collapsed="false">
      <c r="A1392" s="6" t="str">
        <f aca="false">HYPERLINK("https://www.fabsurplus.com/sdi_catalog/salesItemDetails.do?id=99838")</f>
        <v>https://www.fabsurplus.com/sdi_catalog/salesItemDetails.do?id=99838</v>
      </c>
      <c r="B1392" s="6" t="s">
        <v>3350</v>
      </c>
      <c r="C1392" s="6" t="s">
        <v>3351</v>
      </c>
      <c r="D1392" s="6" t="s">
        <v>3352</v>
      </c>
      <c r="E1392" s="6" t="s">
        <v>3353</v>
      </c>
      <c r="F1392" s="6" t="s">
        <v>16</v>
      </c>
      <c r="G1392" s="6"/>
      <c r="H1392" s="6" t="s">
        <v>18</v>
      </c>
      <c r="I1392" s="6"/>
      <c r="J1392" s="6" t="s">
        <v>19</v>
      </c>
      <c r="K1392" s="6" t="s">
        <v>20</v>
      </c>
    </row>
    <row r="1393" customFormat="false" ht="12.8" hidden="false" customHeight="false" outlineLevel="0" collapsed="false">
      <c r="A1393" s="8" t="str">
        <f aca="false">HYPERLINK("https://www.fabsurplus.com/sdi_catalog/salesItemDetails.do?id=99946")</f>
        <v>https://www.fabsurplus.com/sdi_catalog/salesItemDetails.do?id=99946</v>
      </c>
      <c r="B1393" s="8" t="s">
        <v>3354</v>
      </c>
      <c r="C1393" s="8" t="s">
        <v>3351</v>
      </c>
      <c r="D1393" s="8" t="s">
        <v>3355</v>
      </c>
      <c r="E1393" s="8" t="s">
        <v>3356</v>
      </c>
      <c r="F1393" s="8" t="s">
        <v>16</v>
      </c>
      <c r="G1393" s="8" t="s">
        <v>310</v>
      </c>
      <c r="H1393" s="8"/>
      <c r="I1393" s="8"/>
      <c r="J1393" s="8" t="s">
        <v>19</v>
      </c>
      <c r="K1393" s="8"/>
    </row>
    <row r="1394" customFormat="false" ht="12.8" hidden="false" customHeight="false" outlineLevel="0" collapsed="false">
      <c r="A1394" s="8" t="str">
        <f aca="false">HYPERLINK("https://www.fabsurplus.com/sdi_catalog/salesItemDetails.do?id=100008")</f>
        <v>https://www.fabsurplus.com/sdi_catalog/salesItemDetails.do?id=100008</v>
      </c>
      <c r="B1394" s="8" t="s">
        <v>3357</v>
      </c>
      <c r="C1394" s="8" t="s">
        <v>3351</v>
      </c>
      <c r="D1394" s="8" t="s">
        <v>3358</v>
      </c>
      <c r="E1394" s="8" t="s">
        <v>3359</v>
      </c>
      <c r="F1394" s="8" t="s">
        <v>16</v>
      </c>
      <c r="G1394" s="8" t="s">
        <v>2132</v>
      </c>
      <c r="H1394" s="8"/>
      <c r="I1394" s="8"/>
      <c r="J1394" s="8" t="s">
        <v>19</v>
      </c>
      <c r="K1394" s="8"/>
    </row>
    <row r="1395" customFormat="false" ht="12.8" hidden="false" customHeight="false" outlineLevel="0" collapsed="false">
      <c r="A1395" s="6" t="str">
        <f aca="false">HYPERLINK("https://www.fabsurplus.com/sdi_catalog/salesItemDetails.do?id=99858")</f>
        <v>https://www.fabsurplus.com/sdi_catalog/salesItemDetails.do?id=99858</v>
      </c>
      <c r="B1395" s="6" t="s">
        <v>3360</v>
      </c>
      <c r="C1395" s="6" t="s">
        <v>3351</v>
      </c>
      <c r="D1395" s="6" t="s">
        <v>3361</v>
      </c>
      <c r="E1395" s="6" t="s">
        <v>3362</v>
      </c>
      <c r="F1395" s="6" t="s">
        <v>16</v>
      </c>
      <c r="G1395" s="6" t="s">
        <v>372</v>
      </c>
      <c r="H1395" s="6"/>
      <c r="I1395" s="6"/>
      <c r="J1395" s="6" t="s">
        <v>81</v>
      </c>
      <c r="K1395" s="6"/>
    </row>
    <row r="1396" customFormat="false" ht="12.8" hidden="false" customHeight="false" outlineLevel="0" collapsed="false">
      <c r="A1396" s="6" t="str">
        <f aca="false">HYPERLINK("https://www.fabsurplus.com/sdi_catalog/salesItemDetails.do?id=99954")</f>
        <v>https://www.fabsurplus.com/sdi_catalog/salesItemDetails.do?id=99954</v>
      </c>
      <c r="B1396" s="6" t="s">
        <v>3363</v>
      </c>
      <c r="C1396" s="6" t="s">
        <v>3351</v>
      </c>
      <c r="D1396" s="6" t="s">
        <v>3364</v>
      </c>
      <c r="E1396" s="6" t="s">
        <v>3359</v>
      </c>
      <c r="F1396" s="6" t="s">
        <v>16</v>
      </c>
      <c r="G1396" s="6"/>
      <c r="H1396" s="6" t="s">
        <v>18</v>
      </c>
      <c r="I1396" s="7" t="n">
        <v>35947</v>
      </c>
      <c r="J1396" s="6" t="s">
        <v>19</v>
      </c>
      <c r="K1396" s="6" t="s">
        <v>20</v>
      </c>
    </row>
    <row r="1397" customFormat="false" ht="12.8" hidden="false" customHeight="false" outlineLevel="0" collapsed="false">
      <c r="A1397" s="6" t="str">
        <f aca="false">HYPERLINK("https://www.fabsurplus.com/sdi_catalog/salesItemDetails.do?id=99392")</f>
        <v>https://www.fabsurplus.com/sdi_catalog/salesItemDetails.do?id=99392</v>
      </c>
      <c r="B1397" s="6" t="s">
        <v>3365</v>
      </c>
      <c r="C1397" s="6" t="s">
        <v>3366</v>
      </c>
      <c r="D1397" s="6" t="s">
        <v>3367</v>
      </c>
      <c r="E1397" s="6" t="s">
        <v>3359</v>
      </c>
      <c r="F1397" s="6" t="s">
        <v>16</v>
      </c>
      <c r="G1397" s="6"/>
      <c r="H1397" s="6" t="s">
        <v>18</v>
      </c>
      <c r="I1397" s="6"/>
      <c r="J1397" s="6" t="s">
        <v>19</v>
      </c>
      <c r="K1397" s="6" t="s">
        <v>20</v>
      </c>
    </row>
    <row r="1398" customFormat="false" ht="12.8" hidden="false" customHeight="false" outlineLevel="0" collapsed="false">
      <c r="A1398" s="8" t="str">
        <f aca="false">HYPERLINK("https://www.fabsurplus.com/sdi_catalog/salesItemDetails.do?id=99857")</f>
        <v>https://www.fabsurplus.com/sdi_catalog/salesItemDetails.do?id=99857</v>
      </c>
      <c r="B1398" s="8" t="s">
        <v>3368</v>
      </c>
      <c r="C1398" s="8" t="s">
        <v>3351</v>
      </c>
      <c r="D1398" s="8" t="s">
        <v>3369</v>
      </c>
      <c r="E1398" s="8" t="s">
        <v>3370</v>
      </c>
      <c r="F1398" s="8" t="s">
        <v>16</v>
      </c>
      <c r="G1398" s="8" t="s">
        <v>372</v>
      </c>
      <c r="H1398" s="8"/>
      <c r="I1398" s="8"/>
      <c r="J1398" s="8" t="s">
        <v>81</v>
      </c>
      <c r="K1398" s="8"/>
    </row>
    <row r="1399" customFormat="false" ht="12.8" hidden="false" customHeight="false" outlineLevel="0" collapsed="false">
      <c r="A1399" s="8" t="str">
        <f aca="false">HYPERLINK("https://www.fabsurplus.com/sdi_catalog/salesItemDetails.do?id=100006")</f>
        <v>https://www.fabsurplus.com/sdi_catalog/salesItemDetails.do?id=100006</v>
      </c>
      <c r="B1399" s="8" t="s">
        <v>3371</v>
      </c>
      <c r="C1399" s="8" t="s">
        <v>3351</v>
      </c>
      <c r="D1399" s="8" t="s">
        <v>3372</v>
      </c>
      <c r="E1399" s="8" t="s">
        <v>3359</v>
      </c>
      <c r="F1399" s="8" t="s">
        <v>16</v>
      </c>
      <c r="G1399" s="8" t="s">
        <v>2132</v>
      </c>
      <c r="H1399" s="8"/>
      <c r="I1399" s="8"/>
      <c r="J1399" s="8" t="s">
        <v>19</v>
      </c>
      <c r="K1399" s="8"/>
    </row>
    <row r="1400" customFormat="false" ht="12.8" hidden="false" customHeight="false" outlineLevel="0" collapsed="false">
      <c r="A1400" s="8" t="str">
        <f aca="false">HYPERLINK("https://www.fabsurplus.com/sdi_catalog/salesItemDetails.do?id=98124")</f>
        <v>https://www.fabsurplus.com/sdi_catalog/salesItemDetails.do?id=98124</v>
      </c>
      <c r="B1400" s="8" t="s">
        <v>3373</v>
      </c>
      <c r="C1400" s="8" t="s">
        <v>3351</v>
      </c>
      <c r="D1400" s="8" t="s">
        <v>3374</v>
      </c>
      <c r="E1400" s="8" t="s">
        <v>3375</v>
      </c>
      <c r="F1400" s="8" t="s">
        <v>16</v>
      </c>
      <c r="G1400" s="8" t="s">
        <v>32</v>
      </c>
      <c r="H1400" s="8"/>
      <c r="I1400" s="9" t="n">
        <v>32660</v>
      </c>
      <c r="J1400" s="8" t="s">
        <v>19</v>
      </c>
      <c r="K1400" s="8"/>
    </row>
    <row r="1401" customFormat="false" ht="12.8" hidden="false" customHeight="false" outlineLevel="0" collapsed="false">
      <c r="A1401" s="6" t="str">
        <f aca="false">HYPERLINK("https://www.fabsurplus.com/sdi_catalog/salesItemDetails.do?id=100007")</f>
        <v>https://www.fabsurplus.com/sdi_catalog/salesItemDetails.do?id=100007</v>
      </c>
      <c r="B1401" s="6" t="s">
        <v>3376</v>
      </c>
      <c r="C1401" s="6" t="s">
        <v>3351</v>
      </c>
      <c r="D1401" s="6" t="s">
        <v>3374</v>
      </c>
      <c r="E1401" s="6" t="s">
        <v>3359</v>
      </c>
      <c r="F1401" s="6" t="s">
        <v>16</v>
      </c>
      <c r="G1401" s="6" t="s">
        <v>697</v>
      </c>
      <c r="H1401" s="6"/>
      <c r="I1401" s="6"/>
      <c r="J1401" s="6" t="s">
        <v>19</v>
      </c>
      <c r="K1401" s="6"/>
    </row>
    <row r="1402" customFormat="false" ht="12.8" hidden="false" customHeight="false" outlineLevel="0" collapsed="false">
      <c r="A1402" s="6" t="str">
        <f aca="false">HYPERLINK("https://www.fabsurplus.com/sdi_catalog/salesItemDetails.do?id=100707")</f>
        <v>https://www.fabsurplus.com/sdi_catalog/salesItemDetails.do?id=100707</v>
      </c>
      <c r="B1402" s="6" t="s">
        <v>3377</v>
      </c>
      <c r="C1402" s="6" t="s">
        <v>3351</v>
      </c>
      <c r="D1402" s="6" t="s">
        <v>3378</v>
      </c>
      <c r="E1402" s="6" t="s">
        <v>3359</v>
      </c>
      <c r="F1402" s="6" t="s">
        <v>16</v>
      </c>
      <c r="G1402" s="6"/>
      <c r="H1402" s="6"/>
      <c r="I1402" s="6"/>
      <c r="J1402" s="6" t="s">
        <v>19</v>
      </c>
      <c r="K1402" s="6"/>
    </row>
    <row r="1403" customFormat="false" ht="12.8" hidden="false" customHeight="false" outlineLevel="0" collapsed="false">
      <c r="A1403" s="6" t="str">
        <f aca="false">HYPERLINK("https://www.fabsurplus.com/sdi_catalog/salesItemDetails.do?id=99437")</f>
        <v>https://www.fabsurplus.com/sdi_catalog/salesItemDetails.do?id=99437</v>
      </c>
      <c r="B1403" s="6" t="s">
        <v>3379</v>
      </c>
      <c r="C1403" s="6" t="s">
        <v>3351</v>
      </c>
      <c r="D1403" s="6" t="s">
        <v>3380</v>
      </c>
      <c r="E1403" s="6" t="s">
        <v>3359</v>
      </c>
      <c r="F1403" s="6" t="s">
        <v>16</v>
      </c>
      <c r="G1403" s="6" t="s">
        <v>3381</v>
      </c>
      <c r="H1403" s="6" t="s">
        <v>18</v>
      </c>
      <c r="I1403" s="7" t="n">
        <v>32295</v>
      </c>
      <c r="J1403" s="6" t="s">
        <v>19</v>
      </c>
      <c r="K1403" s="6" t="s">
        <v>20</v>
      </c>
    </row>
    <row r="1404" customFormat="false" ht="12.8" hidden="false" customHeight="false" outlineLevel="0" collapsed="false">
      <c r="A1404" s="8" t="str">
        <f aca="false">HYPERLINK("https://www.fabsurplus.com/sdi_catalog/salesItemDetails.do?id=99394")</f>
        <v>https://www.fabsurplus.com/sdi_catalog/salesItemDetails.do?id=99394</v>
      </c>
      <c r="B1404" s="8" t="s">
        <v>3382</v>
      </c>
      <c r="C1404" s="8" t="s">
        <v>3366</v>
      </c>
      <c r="D1404" s="8" t="s">
        <v>3380</v>
      </c>
      <c r="E1404" s="8" t="s">
        <v>3383</v>
      </c>
      <c r="F1404" s="8" t="s">
        <v>16</v>
      </c>
      <c r="G1404" s="8" t="s">
        <v>3381</v>
      </c>
      <c r="H1404" s="8" t="s">
        <v>167</v>
      </c>
      <c r="I1404" s="8"/>
      <c r="J1404" s="8" t="s">
        <v>19</v>
      </c>
      <c r="K1404" s="8" t="s">
        <v>20</v>
      </c>
    </row>
    <row r="1405" customFormat="false" ht="12.8" hidden="false" customHeight="false" outlineLevel="0" collapsed="false">
      <c r="A1405" s="8" t="str">
        <f aca="false">HYPERLINK("https://www.fabsurplus.com/sdi_catalog/salesItemDetails.do?id=98398")</f>
        <v>https://www.fabsurplus.com/sdi_catalog/salesItemDetails.do?id=98398</v>
      </c>
      <c r="B1405" s="8" t="s">
        <v>3384</v>
      </c>
      <c r="C1405" s="8" t="s">
        <v>3351</v>
      </c>
      <c r="D1405" s="8" t="s">
        <v>3385</v>
      </c>
      <c r="E1405" s="8" t="s">
        <v>3386</v>
      </c>
      <c r="F1405" s="8" t="s">
        <v>611</v>
      </c>
      <c r="G1405" s="8" t="s">
        <v>372</v>
      </c>
      <c r="H1405" s="8"/>
      <c r="I1405" s="8"/>
      <c r="J1405" s="8" t="s">
        <v>19</v>
      </c>
      <c r="K1405" s="8"/>
    </row>
    <row r="1406" customFormat="false" ht="12.8" hidden="false" customHeight="false" outlineLevel="0" collapsed="false">
      <c r="A1406" s="8" t="str">
        <f aca="false">HYPERLINK("https://www.fabsurplus.com/sdi_catalog/salesItemDetails.do?id=97103")</f>
        <v>https://www.fabsurplus.com/sdi_catalog/salesItemDetails.do?id=97103</v>
      </c>
      <c r="B1406" s="8" t="s">
        <v>3387</v>
      </c>
      <c r="C1406" s="8" t="s">
        <v>3351</v>
      </c>
      <c r="D1406" s="8" t="s">
        <v>3388</v>
      </c>
      <c r="E1406" s="8" t="s">
        <v>3359</v>
      </c>
      <c r="F1406" s="8" t="s">
        <v>16</v>
      </c>
      <c r="G1406" s="8" t="s">
        <v>3389</v>
      </c>
      <c r="H1406" s="8"/>
      <c r="I1406" s="9" t="n">
        <v>35217</v>
      </c>
      <c r="J1406" s="8" t="s">
        <v>19</v>
      </c>
      <c r="K1406" s="8"/>
    </row>
    <row r="1407" customFormat="false" ht="12.8" hidden="false" customHeight="false" outlineLevel="0" collapsed="false">
      <c r="A1407" s="6" t="str">
        <f aca="false">HYPERLINK("https://www.fabsurplus.com/sdi_catalog/salesItemDetails.do?id=99877")</f>
        <v>https://www.fabsurplus.com/sdi_catalog/salesItemDetails.do?id=99877</v>
      </c>
      <c r="B1407" s="6" t="s">
        <v>3390</v>
      </c>
      <c r="C1407" s="6" t="s">
        <v>3351</v>
      </c>
      <c r="D1407" s="6" t="s">
        <v>3391</v>
      </c>
      <c r="E1407" s="6" t="s">
        <v>3392</v>
      </c>
      <c r="F1407" s="6" t="s">
        <v>16</v>
      </c>
      <c r="G1407" s="6"/>
      <c r="H1407" s="6" t="s">
        <v>18</v>
      </c>
      <c r="I1407" s="7" t="n">
        <v>38139</v>
      </c>
      <c r="J1407" s="6" t="s">
        <v>19</v>
      </c>
      <c r="K1407" s="6" t="s">
        <v>20</v>
      </c>
    </row>
    <row r="1408" customFormat="false" ht="12.8" hidden="false" customHeight="false" outlineLevel="0" collapsed="false">
      <c r="A1408" s="6" t="str">
        <f aca="false">HYPERLINK("https://www.fabsurplus.com/sdi_catalog/salesItemDetails.do?id=97104")</f>
        <v>https://www.fabsurplus.com/sdi_catalog/salesItemDetails.do?id=97104</v>
      </c>
      <c r="B1408" s="6" t="s">
        <v>3393</v>
      </c>
      <c r="C1408" s="6" t="s">
        <v>3351</v>
      </c>
      <c r="D1408" s="6" t="s">
        <v>3391</v>
      </c>
      <c r="E1408" s="6" t="s">
        <v>3359</v>
      </c>
      <c r="F1408" s="6" t="s">
        <v>16</v>
      </c>
      <c r="G1408" s="6"/>
      <c r="H1408" s="6"/>
      <c r="I1408" s="7" t="n">
        <v>38139</v>
      </c>
      <c r="J1408" s="6" t="s">
        <v>19</v>
      </c>
      <c r="K1408" s="6"/>
    </row>
    <row r="1409" customFormat="false" ht="12.8" hidden="false" customHeight="false" outlineLevel="0" collapsed="false">
      <c r="A1409" s="8" t="str">
        <f aca="false">HYPERLINK("https://www.fabsurplus.com/sdi_catalog/salesItemDetails.do?id=99402")</f>
        <v>https://www.fabsurplus.com/sdi_catalog/salesItemDetails.do?id=99402</v>
      </c>
      <c r="B1409" s="8" t="s">
        <v>3394</v>
      </c>
      <c r="C1409" s="8" t="s">
        <v>3366</v>
      </c>
      <c r="D1409" s="8" t="s">
        <v>3395</v>
      </c>
      <c r="E1409" s="8" t="s">
        <v>3359</v>
      </c>
      <c r="F1409" s="8" t="s">
        <v>16</v>
      </c>
      <c r="G1409" s="8"/>
      <c r="H1409" s="8" t="s">
        <v>18</v>
      </c>
      <c r="I1409" s="8"/>
      <c r="J1409" s="8" t="s">
        <v>19</v>
      </c>
      <c r="K1409" s="8" t="s">
        <v>20</v>
      </c>
    </row>
    <row r="1410" customFormat="false" ht="12.8" hidden="false" customHeight="false" outlineLevel="0" collapsed="false">
      <c r="A1410" s="6" t="str">
        <f aca="false">HYPERLINK("https://www.fabsurplus.com/sdi_catalog/salesItemDetails.do?id=99397")</f>
        <v>https://www.fabsurplus.com/sdi_catalog/salesItemDetails.do?id=99397</v>
      </c>
      <c r="B1410" s="6" t="s">
        <v>3396</v>
      </c>
      <c r="C1410" s="6" t="s">
        <v>3366</v>
      </c>
      <c r="D1410" s="6" t="s">
        <v>3397</v>
      </c>
      <c r="E1410" s="6" t="s">
        <v>676</v>
      </c>
      <c r="F1410" s="6" t="s">
        <v>16</v>
      </c>
      <c r="G1410" s="6"/>
      <c r="H1410" s="6" t="s">
        <v>18</v>
      </c>
      <c r="I1410" s="6"/>
      <c r="J1410" s="6" t="s">
        <v>19</v>
      </c>
      <c r="K1410" s="6" t="s">
        <v>20</v>
      </c>
    </row>
    <row r="1411" customFormat="false" ht="12.8" hidden="false" customHeight="false" outlineLevel="0" collapsed="false">
      <c r="A1411" s="8" t="str">
        <f aca="false">HYPERLINK("https://www.fabsurplus.com/sdi_catalog/salesItemDetails.do?id=99839")</f>
        <v>https://www.fabsurplus.com/sdi_catalog/salesItemDetails.do?id=99839</v>
      </c>
      <c r="B1411" s="8" t="s">
        <v>3398</v>
      </c>
      <c r="C1411" s="8" t="s">
        <v>3351</v>
      </c>
      <c r="D1411" s="8" t="s">
        <v>3399</v>
      </c>
      <c r="E1411" s="8" t="s">
        <v>3400</v>
      </c>
      <c r="F1411" s="8" t="s">
        <v>16</v>
      </c>
      <c r="G1411" s="8"/>
      <c r="H1411" s="8" t="s">
        <v>18</v>
      </c>
      <c r="I1411" s="8"/>
      <c r="J1411" s="8" t="s">
        <v>19</v>
      </c>
      <c r="K1411" s="8" t="s">
        <v>20</v>
      </c>
    </row>
    <row r="1412" customFormat="false" ht="12.8" hidden="false" customHeight="false" outlineLevel="0" collapsed="false">
      <c r="A1412" s="6" t="str">
        <f aca="false">HYPERLINK("https://www.fabsurplus.com/sdi_catalog/salesItemDetails.do?id=98972")</f>
        <v>https://www.fabsurplus.com/sdi_catalog/salesItemDetails.do?id=98972</v>
      </c>
      <c r="B1412" s="6" t="s">
        <v>3401</v>
      </c>
      <c r="C1412" s="6" t="s">
        <v>3351</v>
      </c>
      <c r="D1412" s="6" t="s">
        <v>3402</v>
      </c>
      <c r="E1412" s="6" t="s">
        <v>643</v>
      </c>
      <c r="F1412" s="6" t="s">
        <v>16</v>
      </c>
      <c r="G1412" s="6" t="s">
        <v>372</v>
      </c>
      <c r="H1412" s="6" t="s">
        <v>33</v>
      </c>
      <c r="I1412" s="6"/>
      <c r="J1412" s="6" t="s">
        <v>81</v>
      </c>
      <c r="K1412" s="6" t="s">
        <v>20</v>
      </c>
    </row>
    <row r="1413" customFormat="false" ht="12.8" hidden="false" customHeight="false" outlineLevel="0" collapsed="false">
      <c r="A1413" s="8" t="str">
        <f aca="false">HYPERLINK("https://www.fabsurplus.com/sdi_catalog/salesItemDetails.do?id=97105")</f>
        <v>https://www.fabsurplus.com/sdi_catalog/salesItemDetails.do?id=97105</v>
      </c>
      <c r="B1413" s="8" t="s">
        <v>3403</v>
      </c>
      <c r="C1413" s="8" t="s">
        <v>3351</v>
      </c>
      <c r="D1413" s="8" t="s">
        <v>3402</v>
      </c>
      <c r="E1413" s="8" t="s">
        <v>643</v>
      </c>
      <c r="F1413" s="8" t="s">
        <v>16</v>
      </c>
      <c r="G1413" s="8" t="s">
        <v>372</v>
      </c>
      <c r="H1413" s="8"/>
      <c r="I1413" s="8"/>
      <c r="J1413" s="8" t="s">
        <v>19</v>
      </c>
      <c r="K1413" s="8"/>
    </row>
    <row r="1414" customFormat="false" ht="12.8" hidden="false" customHeight="false" outlineLevel="0" collapsed="false">
      <c r="A1414" s="8" t="str">
        <f aca="false">HYPERLINK("https://www.fabsurplus.com/sdi_catalog/salesItemDetails.do?id=100173")</f>
        <v>https://www.fabsurplus.com/sdi_catalog/salesItemDetails.do?id=100173</v>
      </c>
      <c r="B1414" s="8" t="s">
        <v>3404</v>
      </c>
      <c r="C1414" s="8" t="s">
        <v>3405</v>
      </c>
      <c r="D1414" s="8" t="s">
        <v>3406</v>
      </c>
      <c r="E1414" s="8" t="s">
        <v>836</v>
      </c>
      <c r="F1414" s="8" t="s">
        <v>16</v>
      </c>
      <c r="G1414" s="8" t="s">
        <v>837</v>
      </c>
      <c r="H1414" s="8"/>
      <c r="I1414" s="8"/>
      <c r="J1414" s="8" t="s">
        <v>19</v>
      </c>
      <c r="K1414" s="8"/>
    </row>
    <row r="1415" customFormat="false" ht="12.8" hidden="false" customHeight="false" outlineLevel="0" collapsed="false">
      <c r="A1415" s="6" t="str">
        <f aca="false">HYPERLINK("https://www.fabsurplus.com/sdi_catalog/salesItemDetails.do?id=100172")</f>
        <v>https://www.fabsurplus.com/sdi_catalog/salesItemDetails.do?id=100172</v>
      </c>
      <c r="B1415" s="6" t="s">
        <v>3407</v>
      </c>
      <c r="C1415" s="6" t="s">
        <v>3405</v>
      </c>
      <c r="D1415" s="6" t="s">
        <v>3406</v>
      </c>
      <c r="E1415" s="6" t="s">
        <v>836</v>
      </c>
      <c r="F1415" s="6" t="s">
        <v>16</v>
      </c>
      <c r="G1415" s="6" t="s">
        <v>837</v>
      </c>
      <c r="H1415" s="6"/>
      <c r="I1415" s="6"/>
      <c r="J1415" s="6" t="s">
        <v>19</v>
      </c>
      <c r="K1415" s="6"/>
    </row>
    <row r="1416" customFormat="false" ht="12.8" hidden="false" customHeight="false" outlineLevel="0" collapsed="false">
      <c r="A1416" s="8" t="str">
        <f aca="false">HYPERLINK("https://www.fabsurplus.com/sdi_catalog/salesItemDetails.do?id=96871")</f>
        <v>https://www.fabsurplus.com/sdi_catalog/salesItemDetails.do?id=96871</v>
      </c>
      <c r="B1416" s="8" t="s">
        <v>3408</v>
      </c>
      <c r="C1416" s="8" t="s">
        <v>3405</v>
      </c>
      <c r="D1416" s="8" t="s">
        <v>3406</v>
      </c>
      <c r="E1416" s="8" t="s">
        <v>836</v>
      </c>
      <c r="F1416" s="8" t="s">
        <v>16</v>
      </c>
      <c r="G1416" s="8" t="s">
        <v>837</v>
      </c>
      <c r="H1416" s="8"/>
      <c r="I1416" s="8"/>
      <c r="J1416" s="8" t="s">
        <v>19</v>
      </c>
      <c r="K1416" s="8"/>
    </row>
    <row r="1417" customFormat="false" ht="12.8" hidden="false" customHeight="false" outlineLevel="0" collapsed="false">
      <c r="A1417" s="6" t="str">
        <f aca="false">HYPERLINK("https://www.fabsurplus.com/sdi_catalog/salesItemDetails.do?id=100174")</f>
        <v>https://www.fabsurplus.com/sdi_catalog/salesItemDetails.do?id=100174</v>
      </c>
      <c r="B1417" s="6" t="s">
        <v>3409</v>
      </c>
      <c r="C1417" s="6" t="s">
        <v>3405</v>
      </c>
      <c r="D1417" s="6" t="s">
        <v>3410</v>
      </c>
      <c r="E1417" s="6" t="s">
        <v>836</v>
      </c>
      <c r="F1417" s="6" t="s">
        <v>16</v>
      </c>
      <c r="G1417" s="6" t="s">
        <v>837</v>
      </c>
      <c r="H1417" s="6"/>
      <c r="I1417" s="6"/>
      <c r="J1417" s="6" t="s">
        <v>19</v>
      </c>
      <c r="K1417" s="6"/>
    </row>
    <row r="1418" customFormat="false" ht="12.8" hidden="false" customHeight="false" outlineLevel="0" collapsed="false">
      <c r="A1418" s="8" t="str">
        <f aca="false">HYPERLINK("https://www.fabsurplus.com/sdi_catalog/salesItemDetails.do?id=99058")</f>
        <v>https://www.fabsurplus.com/sdi_catalog/salesItemDetails.do?id=99058</v>
      </c>
      <c r="B1418" s="8" t="s">
        <v>3411</v>
      </c>
      <c r="C1418" s="8" t="s">
        <v>3412</v>
      </c>
      <c r="D1418" s="8" t="s">
        <v>3413</v>
      </c>
      <c r="E1418" s="8" t="s">
        <v>3414</v>
      </c>
      <c r="F1418" s="8" t="s">
        <v>16</v>
      </c>
      <c r="G1418" s="8" t="s">
        <v>421</v>
      </c>
      <c r="H1418" s="8" t="s">
        <v>311</v>
      </c>
      <c r="I1418" s="8"/>
      <c r="J1418" s="8" t="s">
        <v>81</v>
      </c>
      <c r="K1418" s="8" t="s">
        <v>20</v>
      </c>
    </row>
    <row r="1419" customFormat="false" ht="12.8" hidden="false" customHeight="false" outlineLevel="0" collapsed="false">
      <c r="A1419" s="6" t="str">
        <f aca="false">HYPERLINK("https://www.fabsurplus.com/sdi_catalog/salesItemDetails.do?id=98467")</f>
        <v>https://www.fabsurplus.com/sdi_catalog/salesItemDetails.do?id=98467</v>
      </c>
      <c r="B1419" s="6" t="s">
        <v>3415</v>
      </c>
      <c r="C1419" s="6" t="s">
        <v>3412</v>
      </c>
      <c r="D1419" s="6" t="s">
        <v>3416</v>
      </c>
      <c r="E1419" s="6" t="s">
        <v>3417</v>
      </c>
      <c r="F1419" s="6" t="s">
        <v>611</v>
      </c>
      <c r="G1419" s="6" t="s">
        <v>686</v>
      </c>
      <c r="H1419" s="6"/>
      <c r="I1419" s="6"/>
      <c r="J1419" s="6" t="s">
        <v>19</v>
      </c>
      <c r="K1419" s="6"/>
    </row>
    <row r="1420" customFormat="false" ht="12.8" hidden="false" customHeight="false" outlineLevel="0" collapsed="false">
      <c r="A1420" s="8" t="str">
        <f aca="false">HYPERLINK("https://www.fabsurplus.com/sdi_catalog/salesItemDetails.do?id=98468")</f>
        <v>https://www.fabsurplus.com/sdi_catalog/salesItemDetails.do?id=98468</v>
      </c>
      <c r="B1420" s="8" t="s">
        <v>3418</v>
      </c>
      <c r="C1420" s="8" t="s">
        <v>3412</v>
      </c>
      <c r="D1420" s="8" t="s">
        <v>3419</v>
      </c>
      <c r="E1420" s="8" t="s">
        <v>3420</v>
      </c>
      <c r="F1420" s="8" t="s">
        <v>16</v>
      </c>
      <c r="G1420" s="8" t="s">
        <v>686</v>
      </c>
      <c r="H1420" s="8"/>
      <c r="I1420" s="8"/>
      <c r="J1420" s="8" t="s">
        <v>19</v>
      </c>
      <c r="K1420" s="8"/>
    </row>
    <row r="1421" customFormat="false" ht="12.8" hidden="false" customHeight="false" outlineLevel="0" collapsed="false">
      <c r="A1421" s="8" t="str">
        <f aca="false">HYPERLINK("https://www.fabsurplus.com/sdi_catalog/salesItemDetails.do?id=99937")</f>
        <v>https://www.fabsurplus.com/sdi_catalog/salesItemDetails.do?id=99937</v>
      </c>
      <c r="B1421" s="8" t="s">
        <v>3421</v>
      </c>
      <c r="C1421" s="8" t="s">
        <v>3422</v>
      </c>
      <c r="D1421" s="8" t="s">
        <v>3423</v>
      </c>
      <c r="E1421" s="8" t="s">
        <v>3424</v>
      </c>
      <c r="F1421" s="8" t="s">
        <v>16</v>
      </c>
      <c r="G1421" s="8" t="s">
        <v>47</v>
      </c>
      <c r="H1421" s="8"/>
      <c r="I1421" s="8"/>
      <c r="J1421" s="8" t="s">
        <v>19</v>
      </c>
      <c r="K1421" s="8"/>
    </row>
    <row r="1422" customFormat="false" ht="12.8" hidden="false" customHeight="false" outlineLevel="0" collapsed="false">
      <c r="A1422" s="6" t="str">
        <f aca="false">HYPERLINK("https://www.fabsurplus.com/sdi_catalog/salesItemDetails.do?id=98469")</f>
        <v>https://www.fabsurplus.com/sdi_catalog/salesItemDetails.do?id=98469</v>
      </c>
      <c r="B1422" s="6" t="s">
        <v>3425</v>
      </c>
      <c r="C1422" s="6" t="s">
        <v>3412</v>
      </c>
      <c r="D1422" s="6" t="s">
        <v>3426</v>
      </c>
      <c r="E1422" s="6" t="s">
        <v>3420</v>
      </c>
      <c r="F1422" s="6" t="s">
        <v>16</v>
      </c>
      <c r="G1422" s="6" t="s">
        <v>686</v>
      </c>
      <c r="H1422" s="6"/>
      <c r="I1422" s="6"/>
      <c r="J1422" s="6" t="s">
        <v>19</v>
      </c>
      <c r="K1422" s="6"/>
    </row>
    <row r="1423" customFormat="false" ht="12.8" hidden="false" customHeight="false" outlineLevel="0" collapsed="false">
      <c r="A1423" s="6" t="str">
        <f aca="false">HYPERLINK("https://www.fabsurplus.com/sdi_catalog/salesItemDetails.do?id=97092")</f>
        <v>https://www.fabsurplus.com/sdi_catalog/salesItemDetails.do?id=97092</v>
      </c>
      <c r="B1423" s="6" t="s">
        <v>3427</v>
      </c>
      <c r="C1423" s="6" t="s">
        <v>3428</v>
      </c>
      <c r="D1423" s="6" t="s">
        <v>3429</v>
      </c>
      <c r="E1423" s="6" t="s">
        <v>2980</v>
      </c>
      <c r="F1423" s="6" t="s">
        <v>16</v>
      </c>
      <c r="G1423" s="6" t="s">
        <v>2997</v>
      </c>
      <c r="H1423" s="6" t="s">
        <v>33</v>
      </c>
      <c r="I1423" s="7" t="n">
        <v>41061</v>
      </c>
      <c r="J1423" s="6" t="s">
        <v>81</v>
      </c>
      <c r="K1423" s="6" t="s">
        <v>20</v>
      </c>
    </row>
    <row r="1424" customFormat="false" ht="12.8" hidden="false" customHeight="false" outlineLevel="0" collapsed="false">
      <c r="A1424" s="8" t="str">
        <f aca="false">HYPERLINK("https://www.fabsurplus.com/sdi_catalog/salesItemDetails.do?id=97151")</f>
        <v>https://www.fabsurplus.com/sdi_catalog/salesItemDetails.do?id=97151</v>
      </c>
      <c r="B1424" s="8" t="s">
        <v>3430</v>
      </c>
      <c r="C1424" s="8" t="s">
        <v>3431</v>
      </c>
      <c r="D1424" s="8" t="s">
        <v>3432</v>
      </c>
      <c r="E1424" s="8" t="s">
        <v>2980</v>
      </c>
      <c r="F1424" s="8" t="s">
        <v>16</v>
      </c>
      <c r="G1424" s="8" t="s">
        <v>2997</v>
      </c>
      <c r="H1424" s="8"/>
      <c r="I1424" s="9" t="n">
        <v>41061</v>
      </c>
      <c r="J1424" s="8"/>
      <c r="K1424" s="8"/>
    </row>
    <row r="1425" customFormat="false" ht="12.8" hidden="false" customHeight="false" outlineLevel="0" collapsed="false">
      <c r="A1425" s="8" t="str">
        <f aca="false">HYPERLINK("https://www.fabsurplus.com/sdi_catalog/salesItemDetails.do?id=97149")</f>
        <v>https://www.fabsurplus.com/sdi_catalog/salesItemDetails.do?id=97149</v>
      </c>
      <c r="B1425" s="8" t="s">
        <v>3433</v>
      </c>
      <c r="C1425" s="8" t="s">
        <v>3431</v>
      </c>
      <c r="D1425" s="8" t="s">
        <v>3434</v>
      </c>
      <c r="E1425" s="8" t="s">
        <v>2980</v>
      </c>
      <c r="F1425" s="8" t="s">
        <v>16</v>
      </c>
      <c r="G1425" s="8" t="s">
        <v>2997</v>
      </c>
      <c r="H1425" s="8"/>
      <c r="I1425" s="9" t="n">
        <v>39965</v>
      </c>
      <c r="J1425" s="8"/>
      <c r="K1425" s="8"/>
    </row>
    <row r="1426" customFormat="false" ht="12.8" hidden="false" customHeight="false" outlineLevel="0" collapsed="false">
      <c r="A1426" s="6" t="str">
        <f aca="false">HYPERLINK("https://www.fabsurplus.com/sdi_catalog/salesItemDetails.do?id=97150")</f>
        <v>https://www.fabsurplus.com/sdi_catalog/salesItemDetails.do?id=97150</v>
      </c>
      <c r="B1426" s="6" t="s">
        <v>3435</v>
      </c>
      <c r="C1426" s="6" t="s">
        <v>3431</v>
      </c>
      <c r="D1426" s="6" t="s">
        <v>3436</v>
      </c>
      <c r="E1426" s="6" t="s">
        <v>2980</v>
      </c>
      <c r="F1426" s="6" t="s">
        <v>16</v>
      </c>
      <c r="G1426" s="6" t="s">
        <v>2997</v>
      </c>
      <c r="H1426" s="6"/>
      <c r="I1426" s="7" t="n">
        <v>40330</v>
      </c>
      <c r="J1426" s="6"/>
      <c r="K1426" s="6"/>
    </row>
    <row r="1427" customFormat="false" ht="12.8" hidden="false" customHeight="false" outlineLevel="0" collapsed="false">
      <c r="A1427" s="8" t="str">
        <f aca="false">HYPERLINK("https://www.fabsurplus.com/sdi_catalog/salesItemDetails.do?id=97934")</f>
        <v>https://www.fabsurplus.com/sdi_catalog/salesItemDetails.do?id=97934</v>
      </c>
      <c r="B1427" s="8" t="s">
        <v>3437</v>
      </c>
      <c r="C1427" s="8" t="s">
        <v>330</v>
      </c>
      <c r="D1427" s="8" t="s">
        <v>3438</v>
      </c>
      <c r="E1427" s="8" t="s">
        <v>3439</v>
      </c>
      <c r="F1427" s="8" t="s">
        <v>16</v>
      </c>
      <c r="G1427" s="8" t="s">
        <v>38</v>
      </c>
      <c r="H1427" s="8"/>
      <c r="I1427" s="8"/>
      <c r="J1427" s="8" t="s">
        <v>81</v>
      </c>
      <c r="K1427" s="8"/>
    </row>
    <row r="1428" customFormat="false" ht="12.8" hidden="false" customHeight="false" outlineLevel="0" collapsed="false">
      <c r="A1428" s="6" t="str">
        <f aca="false">HYPERLINK("https://www.fabsurplus.com/sdi_catalog/salesItemDetails.do?id=97896")</f>
        <v>https://www.fabsurplus.com/sdi_catalog/salesItemDetails.do?id=97896</v>
      </c>
      <c r="B1428" s="6" t="s">
        <v>3440</v>
      </c>
      <c r="C1428" s="6" t="s">
        <v>3441</v>
      </c>
      <c r="D1428" s="6" t="s">
        <v>3442</v>
      </c>
      <c r="E1428" s="6" t="s">
        <v>3443</v>
      </c>
      <c r="F1428" s="6" t="s">
        <v>16</v>
      </c>
      <c r="G1428" s="6"/>
      <c r="H1428" s="6"/>
      <c r="I1428" s="7" t="n">
        <v>42522</v>
      </c>
      <c r="J1428" s="6" t="s">
        <v>19</v>
      </c>
      <c r="K1428" s="6"/>
    </row>
    <row r="1429" customFormat="false" ht="12.8" hidden="false" customHeight="false" outlineLevel="0" collapsed="false">
      <c r="A1429" s="8" t="str">
        <f aca="false">HYPERLINK("https://www.fabsurplus.com/sdi_catalog/salesItemDetails.do?id=98729")</f>
        <v>https://www.fabsurplus.com/sdi_catalog/salesItemDetails.do?id=98729</v>
      </c>
      <c r="B1429" s="8" t="s">
        <v>3444</v>
      </c>
      <c r="C1429" s="8" t="s">
        <v>3445</v>
      </c>
      <c r="D1429" s="8" t="s">
        <v>3446</v>
      </c>
      <c r="E1429" s="8" t="s">
        <v>2400</v>
      </c>
      <c r="F1429" s="8" t="s">
        <v>16</v>
      </c>
      <c r="G1429" s="8" t="s">
        <v>417</v>
      </c>
      <c r="H1429" s="8" t="s">
        <v>18</v>
      </c>
      <c r="I1429" s="9" t="n">
        <v>40330</v>
      </c>
      <c r="J1429" s="8" t="s">
        <v>19</v>
      </c>
      <c r="K1429" s="8" t="s">
        <v>20</v>
      </c>
    </row>
    <row r="1430" customFormat="false" ht="12.8" hidden="false" customHeight="false" outlineLevel="0" collapsed="false">
      <c r="A1430" s="8" t="str">
        <f aca="false">HYPERLINK("https://www.fabsurplus.com/sdi_catalog/salesItemDetails.do?id=98470")</f>
        <v>https://www.fabsurplus.com/sdi_catalog/salesItemDetails.do?id=98470</v>
      </c>
      <c r="B1430" s="8" t="s">
        <v>3447</v>
      </c>
      <c r="C1430" s="8" t="s">
        <v>3448</v>
      </c>
      <c r="D1430" s="8" t="s">
        <v>3449</v>
      </c>
      <c r="E1430" s="8" t="s">
        <v>3450</v>
      </c>
      <c r="F1430" s="8" t="s">
        <v>16</v>
      </c>
      <c r="G1430" s="8" t="s">
        <v>697</v>
      </c>
      <c r="H1430" s="8"/>
      <c r="I1430" s="8"/>
      <c r="J1430" s="8" t="s">
        <v>19</v>
      </c>
      <c r="K1430" s="8"/>
    </row>
    <row r="1431" customFormat="false" ht="12.8" hidden="false" customHeight="false" outlineLevel="0" collapsed="false">
      <c r="A1431" s="8" t="str">
        <f aca="false">HYPERLINK("https://www.fabsurplus.com/sdi_catalog/salesItemDetails.do?id=100677")</f>
        <v>https://www.fabsurplus.com/sdi_catalog/salesItemDetails.do?id=100677</v>
      </c>
      <c r="B1431" s="8" t="s">
        <v>3451</v>
      </c>
      <c r="C1431" s="8" t="s">
        <v>3452</v>
      </c>
      <c r="D1431" s="8" t="s">
        <v>3453</v>
      </c>
      <c r="E1431" s="8" t="s">
        <v>3454</v>
      </c>
      <c r="F1431" s="8" t="s">
        <v>16</v>
      </c>
      <c r="G1431" s="8" t="s">
        <v>1851</v>
      </c>
      <c r="H1431" s="8"/>
      <c r="I1431" s="8"/>
      <c r="J1431" s="8" t="s">
        <v>19</v>
      </c>
      <c r="K1431" s="8"/>
    </row>
    <row r="1432" customFormat="false" ht="12.8" hidden="false" customHeight="false" outlineLevel="0" collapsed="false">
      <c r="A1432" s="6" t="str">
        <f aca="false">HYPERLINK("https://www.fabsurplus.com/sdi_catalog/salesItemDetails.do?id=97864")</f>
        <v>https://www.fabsurplus.com/sdi_catalog/salesItemDetails.do?id=97864</v>
      </c>
      <c r="B1432" s="6" t="s">
        <v>3455</v>
      </c>
      <c r="C1432" s="6" t="s">
        <v>3456</v>
      </c>
      <c r="D1432" s="6" t="s">
        <v>3457</v>
      </c>
      <c r="E1432" s="6" t="s">
        <v>3458</v>
      </c>
      <c r="F1432" s="6" t="s">
        <v>16</v>
      </c>
      <c r="G1432" s="6"/>
      <c r="H1432" s="6"/>
      <c r="I1432" s="6"/>
      <c r="J1432" s="6" t="s">
        <v>19</v>
      </c>
      <c r="K1432" s="6"/>
    </row>
    <row r="1433" customFormat="false" ht="12.8" hidden="false" customHeight="false" outlineLevel="0" collapsed="false">
      <c r="A1433" s="6" t="str">
        <f aca="false">HYPERLINK("https://www.fabsurplus.com/sdi_catalog/salesItemDetails.do?id=99837")</f>
        <v>https://www.fabsurplus.com/sdi_catalog/salesItemDetails.do?id=99837</v>
      </c>
      <c r="B1433" s="6" t="s">
        <v>3459</v>
      </c>
      <c r="C1433" s="6" t="s">
        <v>3460</v>
      </c>
      <c r="D1433" s="6" t="s">
        <v>3461</v>
      </c>
      <c r="E1433" s="6" t="s">
        <v>3462</v>
      </c>
      <c r="F1433" s="6" t="s">
        <v>16</v>
      </c>
      <c r="G1433" s="6" t="s">
        <v>17</v>
      </c>
      <c r="H1433" s="6" t="s">
        <v>311</v>
      </c>
      <c r="I1433" s="6"/>
      <c r="J1433" s="6" t="s">
        <v>312</v>
      </c>
      <c r="K1433" s="6" t="s">
        <v>20</v>
      </c>
    </row>
    <row r="1434" customFormat="false" ht="12.8" hidden="false" customHeight="false" outlineLevel="0" collapsed="false">
      <c r="A1434" s="6" t="str">
        <f aca="false">HYPERLINK("https://www.fabsurplus.com/sdi_catalog/salesItemDetails.do?id=98472")</f>
        <v>https://www.fabsurplus.com/sdi_catalog/salesItemDetails.do?id=98472</v>
      </c>
      <c r="B1434" s="6" t="s">
        <v>3463</v>
      </c>
      <c r="C1434" s="6" t="s">
        <v>3464</v>
      </c>
      <c r="D1434" s="6" t="s">
        <v>3465</v>
      </c>
      <c r="E1434" s="6" t="s">
        <v>3466</v>
      </c>
      <c r="F1434" s="6" t="s">
        <v>611</v>
      </c>
      <c r="G1434" s="6" t="s">
        <v>686</v>
      </c>
      <c r="H1434" s="6"/>
      <c r="I1434" s="6"/>
      <c r="J1434" s="6" t="s">
        <v>19</v>
      </c>
      <c r="K1434" s="6"/>
    </row>
    <row r="1435" customFormat="false" ht="12.8" hidden="false" customHeight="false" outlineLevel="0" collapsed="false">
      <c r="A1435" s="8" t="str">
        <f aca="false">HYPERLINK("https://www.fabsurplus.com/sdi_catalog/salesItemDetails.do?id=98399")</f>
        <v>https://www.fabsurplus.com/sdi_catalog/salesItemDetails.do?id=98399</v>
      </c>
      <c r="B1435" s="8" t="s">
        <v>3467</v>
      </c>
      <c r="C1435" s="8" t="s">
        <v>3464</v>
      </c>
      <c r="D1435" s="8" t="s">
        <v>335</v>
      </c>
      <c r="E1435" s="8" t="s">
        <v>3468</v>
      </c>
      <c r="F1435" s="8" t="s">
        <v>16</v>
      </c>
      <c r="G1435" s="8" t="s">
        <v>372</v>
      </c>
      <c r="H1435" s="8"/>
      <c r="I1435" s="8"/>
      <c r="J1435" s="8" t="s">
        <v>19</v>
      </c>
      <c r="K1435" s="8"/>
    </row>
    <row r="1436" customFormat="false" ht="12.8" hidden="false" customHeight="false" outlineLevel="0" collapsed="false">
      <c r="A1436" s="6" t="str">
        <f aca="false">HYPERLINK("https://www.fabsurplus.com/sdi_catalog/salesItemDetails.do?id=98910")</f>
        <v>https://www.fabsurplus.com/sdi_catalog/salesItemDetails.do?id=98910</v>
      </c>
      <c r="B1436" s="6" t="s">
        <v>3469</v>
      </c>
      <c r="C1436" s="6" t="s">
        <v>3464</v>
      </c>
      <c r="D1436" s="6" t="s">
        <v>3470</v>
      </c>
      <c r="E1436" s="6" t="s">
        <v>3471</v>
      </c>
      <c r="F1436" s="6" t="s">
        <v>16</v>
      </c>
      <c r="G1436" s="6"/>
      <c r="H1436" s="6"/>
      <c r="I1436" s="6"/>
      <c r="J1436" s="6" t="s">
        <v>19</v>
      </c>
      <c r="K1436" s="6"/>
    </row>
    <row r="1437" customFormat="false" ht="12.8" hidden="false" customHeight="false" outlineLevel="0" collapsed="false">
      <c r="A1437" s="8" t="str">
        <f aca="false">HYPERLINK("https://www.fabsurplus.com/sdi_catalog/salesItemDetails.do?id=98209")</f>
        <v>https://www.fabsurplus.com/sdi_catalog/salesItemDetails.do?id=98209</v>
      </c>
      <c r="B1437" s="8" t="s">
        <v>3472</v>
      </c>
      <c r="C1437" s="8" t="s">
        <v>3464</v>
      </c>
      <c r="D1437" s="8" t="s">
        <v>3473</v>
      </c>
      <c r="E1437" s="8" t="s">
        <v>3195</v>
      </c>
      <c r="F1437" s="8" t="s">
        <v>16</v>
      </c>
      <c r="G1437" s="8" t="s">
        <v>32</v>
      </c>
      <c r="H1437" s="8"/>
      <c r="I1437" s="9" t="n">
        <v>38869</v>
      </c>
      <c r="J1437" s="8" t="s">
        <v>81</v>
      </c>
      <c r="K1437" s="8"/>
    </row>
    <row r="1438" customFormat="false" ht="12.8" hidden="false" customHeight="false" outlineLevel="0" collapsed="false">
      <c r="A1438" s="6" t="str">
        <f aca="false">HYPERLINK("https://www.fabsurplus.com/sdi_catalog/salesItemDetails.do?id=99947")</f>
        <v>https://www.fabsurplus.com/sdi_catalog/salesItemDetails.do?id=99947</v>
      </c>
      <c r="B1438" s="6" t="s">
        <v>3474</v>
      </c>
      <c r="C1438" s="6" t="s">
        <v>3464</v>
      </c>
      <c r="D1438" s="6" t="s">
        <v>3475</v>
      </c>
      <c r="E1438" s="6" t="s">
        <v>3476</v>
      </c>
      <c r="F1438" s="6" t="s">
        <v>16</v>
      </c>
      <c r="G1438" s="6" t="s">
        <v>32</v>
      </c>
      <c r="H1438" s="6"/>
      <c r="I1438" s="7" t="n">
        <v>38869</v>
      </c>
      <c r="J1438" s="6" t="s">
        <v>19</v>
      </c>
      <c r="K1438" s="6"/>
    </row>
    <row r="1439" customFormat="false" ht="12.8" hidden="false" customHeight="false" outlineLevel="0" collapsed="false">
      <c r="A1439" s="6" t="str">
        <f aca="false">HYPERLINK("https://www.fabsurplus.com/sdi_catalog/salesItemDetails.do?id=98344")</f>
        <v>https://www.fabsurplus.com/sdi_catalog/salesItemDetails.do?id=98344</v>
      </c>
      <c r="B1439" s="6" t="s">
        <v>3477</v>
      </c>
      <c r="C1439" s="6" t="s">
        <v>3464</v>
      </c>
      <c r="D1439" s="6" t="s">
        <v>3478</v>
      </c>
      <c r="E1439" s="6" t="s">
        <v>3479</v>
      </c>
      <c r="F1439" s="6" t="s">
        <v>16</v>
      </c>
      <c r="G1439" s="6" t="s">
        <v>310</v>
      </c>
      <c r="H1439" s="6"/>
      <c r="I1439" s="7" t="n">
        <v>39600</v>
      </c>
      <c r="J1439" s="6" t="s">
        <v>81</v>
      </c>
      <c r="K1439" s="6"/>
    </row>
    <row r="1440" customFormat="false" ht="12.8" hidden="false" customHeight="false" outlineLevel="0" collapsed="false">
      <c r="A1440" s="8" t="str">
        <f aca="false">HYPERLINK("https://www.fabsurplus.com/sdi_catalog/salesItemDetails.do?id=98471")</f>
        <v>https://www.fabsurplus.com/sdi_catalog/salesItemDetails.do?id=98471</v>
      </c>
      <c r="B1440" s="8" t="s">
        <v>3480</v>
      </c>
      <c r="C1440" s="8" t="s">
        <v>3464</v>
      </c>
      <c r="D1440" s="8" t="s">
        <v>3481</v>
      </c>
      <c r="E1440" s="8" t="s">
        <v>3482</v>
      </c>
      <c r="F1440" s="8" t="s">
        <v>16</v>
      </c>
      <c r="G1440" s="8" t="s">
        <v>686</v>
      </c>
      <c r="H1440" s="8"/>
      <c r="I1440" s="8"/>
      <c r="J1440" s="8" t="s">
        <v>19</v>
      </c>
      <c r="K1440" s="8"/>
    </row>
    <row r="1441" customFormat="false" ht="12.8" hidden="false" customHeight="false" outlineLevel="0" collapsed="false">
      <c r="A1441" s="6" t="str">
        <f aca="false">HYPERLINK("https://www.fabsurplus.com/sdi_catalog/salesItemDetails.do?id=98911")</f>
        <v>https://www.fabsurplus.com/sdi_catalog/salesItemDetails.do?id=98911</v>
      </c>
      <c r="B1441" s="6" t="s">
        <v>3483</v>
      </c>
      <c r="C1441" s="6" t="s">
        <v>3464</v>
      </c>
      <c r="D1441" s="6" t="s">
        <v>3484</v>
      </c>
      <c r="E1441" s="6" t="s">
        <v>3468</v>
      </c>
      <c r="F1441" s="6" t="s">
        <v>16</v>
      </c>
      <c r="G1441" s="6"/>
      <c r="H1441" s="6"/>
      <c r="I1441" s="6"/>
      <c r="J1441" s="6" t="s">
        <v>19</v>
      </c>
      <c r="K1441" s="6"/>
    </row>
    <row r="1442" customFormat="false" ht="12.8" hidden="false" customHeight="false" outlineLevel="0" collapsed="false">
      <c r="A1442" s="6" t="str">
        <f aca="false">HYPERLINK("https://www.fabsurplus.com/sdi_catalog/salesItemDetails.do?id=98126")</f>
        <v>https://www.fabsurplus.com/sdi_catalog/salesItemDetails.do?id=98126</v>
      </c>
      <c r="B1442" s="6" t="s">
        <v>3485</v>
      </c>
      <c r="C1442" s="6" t="s">
        <v>3464</v>
      </c>
      <c r="D1442" s="6" t="s">
        <v>3486</v>
      </c>
      <c r="E1442" s="6" t="s">
        <v>3487</v>
      </c>
      <c r="F1442" s="6" t="s">
        <v>16</v>
      </c>
      <c r="G1442" s="6" t="s">
        <v>310</v>
      </c>
      <c r="H1442" s="6"/>
      <c r="I1442" s="7" t="n">
        <v>42887</v>
      </c>
      <c r="J1442" s="6" t="s">
        <v>19</v>
      </c>
      <c r="K1442" s="6"/>
    </row>
    <row r="1443" customFormat="false" ht="12.8" hidden="false" customHeight="false" outlineLevel="0" collapsed="false">
      <c r="A1443" s="8" t="str">
        <f aca="false">HYPERLINK("https://www.fabsurplus.com/sdi_catalog/salesItemDetails.do?id=98125")</f>
        <v>https://www.fabsurplus.com/sdi_catalog/salesItemDetails.do?id=98125</v>
      </c>
      <c r="B1443" s="8" t="s">
        <v>3488</v>
      </c>
      <c r="C1443" s="8" t="s">
        <v>3464</v>
      </c>
      <c r="D1443" s="8" t="s">
        <v>3486</v>
      </c>
      <c r="E1443" s="8" t="s">
        <v>3487</v>
      </c>
      <c r="F1443" s="8" t="s">
        <v>16</v>
      </c>
      <c r="G1443" s="8" t="s">
        <v>310</v>
      </c>
      <c r="H1443" s="8"/>
      <c r="I1443" s="9" t="n">
        <v>42522</v>
      </c>
      <c r="J1443" s="8" t="s">
        <v>19</v>
      </c>
      <c r="K1443" s="8"/>
    </row>
    <row r="1444" customFormat="false" ht="12.8" hidden="false" customHeight="false" outlineLevel="0" collapsed="false">
      <c r="A1444" s="8" t="str">
        <f aca="false">HYPERLINK("https://www.fabsurplus.com/sdi_catalog/salesItemDetails.do?id=99859")</f>
        <v>https://www.fabsurplus.com/sdi_catalog/salesItemDetails.do?id=99859</v>
      </c>
      <c r="B1444" s="8" t="s">
        <v>3489</v>
      </c>
      <c r="C1444" s="8" t="s">
        <v>3464</v>
      </c>
      <c r="D1444" s="8" t="s">
        <v>3490</v>
      </c>
      <c r="E1444" s="8" t="s">
        <v>3491</v>
      </c>
      <c r="F1444" s="8" t="s">
        <v>16</v>
      </c>
      <c r="G1444" s="8"/>
      <c r="H1444" s="8"/>
      <c r="I1444" s="8"/>
      <c r="J1444" s="8" t="s">
        <v>81</v>
      </c>
      <c r="K1444" s="8"/>
    </row>
    <row r="1445" customFormat="false" ht="12.8" hidden="false" customHeight="false" outlineLevel="0" collapsed="false">
      <c r="A1445" s="6" t="str">
        <f aca="false">HYPERLINK("https://www.fabsurplus.com/sdi_catalog/salesItemDetails.do?id=98131")</f>
        <v>https://www.fabsurplus.com/sdi_catalog/salesItemDetails.do?id=98131</v>
      </c>
      <c r="B1445" s="6" t="s">
        <v>3492</v>
      </c>
      <c r="C1445" s="6" t="s">
        <v>3464</v>
      </c>
      <c r="D1445" s="6" t="s">
        <v>3493</v>
      </c>
      <c r="E1445" s="6" t="s">
        <v>1960</v>
      </c>
      <c r="F1445" s="6" t="s">
        <v>16</v>
      </c>
      <c r="G1445" s="6" t="s">
        <v>32</v>
      </c>
      <c r="H1445" s="6"/>
      <c r="I1445" s="7" t="n">
        <v>34851</v>
      </c>
      <c r="J1445" s="6" t="s">
        <v>19</v>
      </c>
      <c r="K1445" s="6"/>
    </row>
    <row r="1446" customFormat="false" ht="12.8" hidden="false" customHeight="false" outlineLevel="0" collapsed="false">
      <c r="A1446" s="6" t="str">
        <f aca="false">HYPERLINK("https://www.fabsurplus.com/sdi_catalog/salesItemDetails.do?id=99441")</f>
        <v>https://www.fabsurplus.com/sdi_catalog/salesItemDetails.do?id=99441</v>
      </c>
      <c r="B1446" s="6" t="s">
        <v>3494</v>
      </c>
      <c r="C1446" s="6" t="s">
        <v>3464</v>
      </c>
      <c r="D1446" s="6" t="s">
        <v>3495</v>
      </c>
      <c r="E1446" s="6" t="s">
        <v>2135</v>
      </c>
      <c r="F1446" s="6" t="s">
        <v>611</v>
      </c>
      <c r="G1446" s="6" t="s">
        <v>17</v>
      </c>
      <c r="H1446" s="6" t="s">
        <v>311</v>
      </c>
      <c r="I1446" s="6"/>
      <c r="J1446" s="6" t="s">
        <v>81</v>
      </c>
      <c r="K1446" s="6" t="s">
        <v>20</v>
      </c>
    </row>
    <row r="1447" customFormat="false" ht="12.8" hidden="false" customHeight="false" outlineLevel="0" collapsed="false">
      <c r="A1447" s="6" t="str">
        <f aca="false">HYPERLINK("https://www.fabsurplus.com/sdi_catalog/salesItemDetails.do?id=99440")</f>
        <v>https://www.fabsurplus.com/sdi_catalog/salesItemDetails.do?id=99440</v>
      </c>
      <c r="B1447" s="6" t="s">
        <v>3496</v>
      </c>
      <c r="C1447" s="6" t="s">
        <v>3464</v>
      </c>
      <c r="D1447" s="6" t="s">
        <v>3497</v>
      </c>
      <c r="E1447" s="6" t="s">
        <v>2135</v>
      </c>
      <c r="F1447" s="6" t="s">
        <v>611</v>
      </c>
      <c r="G1447" s="6" t="s">
        <v>17</v>
      </c>
      <c r="H1447" s="6" t="s">
        <v>311</v>
      </c>
      <c r="I1447" s="6"/>
      <c r="J1447" s="6" t="s">
        <v>81</v>
      </c>
      <c r="K1447" s="6" t="s">
        <v>20</v>
      </c>
    </row>
    <row r="1448" customFormat="false" ht="12.8" hidden="false" customHeight="false" outlineLevel="0" collapsed="false">
      <c r="A1448" s="8" t="str">
        <f aca="false">HYPERLINK("https://www.fabsurplus.com/sdi_catalog/salesItemDetails.do?id=99439")</f>
        <v>https://www.fabsurplus.com/sdi_catalog/salesItemDetails.do?id=99439</v>
      </c>
      <c r="B1448" s="8" t="s">
        <v>3498</v>
      </c>
      <c r="C1448" s="8" t="s">
        <v>3464</v>
      </c>
      <c r="D1448" s="8" t="s">
        <v>3497</v>
      </c>
      <c r="E1448" s="8" t="s">
        <v>2135</v>
      </c>
      <c r="F1448" s="8" t="s">
        <v>16</v>
      </c>
      <c r="G1448" s="8" t="s">
        <v>32</v>
      </c>
      <c r="H1448" s="8" t="s">
        <v>18</v>
      </c>
      <c r="I1448" s="8"/>
      <c r="J1448" s="8" t="s">
        <v>19</v>
      </c>
      <c r="K1448" s="8" t="s">
        <v>20</v>
      </c>
    </row>
    <row r="1449" customFormat="false" ht="12.8" hidden="false" customHeight="false" outlineLevel="0" collapsed="false">
      <c r="A1449" s="6" t="str">
        <f aca="false">HYPERLINK("https://www.fabsurplus.com/sdi_catalog/salesItemDetails.do?id=98969")</f>
        <v>https://www.fabsurplus.com/sdi_catalog/salesItemDetails.do?id=98969</v>
      </c>
      <c r="B1449" s="6" t="s">
        <v>3499</v>
      </c>
      <c r="C1449" s="6" t="s">
        <v>3464</v>
      </c>
      <c r="D1449" s="6" t="s">
        <v>3500</v>
      </c>
      <c r="E1449" s="6" t="s">
        <v>3132</v>
      </c>
      <c r="F1449" s="6" t="s">
        <v>16</v>
      </c>
      <c r="G1449" s="6"/>
      <c r="H1449" s="6" t="s">
        <v>33</v>
      </c>
      <c r="I1449" s="7" t="n">
        <v>35947</v>
      </c>
      <c r="J1449" s="6" t="s">
        <v>19</v>
      </c>
      <c r="K1449" s="6" t="s">
        <v>20</v>
      </c>
    </row>
    <row r="1450" customFormat="false" ht="12.8" hidden="false" customHeight="false" outlineLevel="0" collapsed="false">
      <c r="A1450" s="6" t="str">
        <f aca="false">HYPERLINK("https://www.fabsurplus.com/sdi_catalog/salesItemDetails.do?id=99417")</f>
        <v>https://www.fabsurplus.com/sdi_catalog/salesItemDetails.do?id=99417</v>
      </c>
      <c r="B1450" s="6" t="s">
        <v>3501</v>
      </c>
      <c r="C1450" s="6" t="s">
        <v>3464</v>
      </c>
      <c r="D1450" s="6" t="s">
        <v>3502</v>
      </c>
      <c r="E1450" s="6" t="s">
        <v>3503</v>
      </c>
      <c r="F1450" s="6" t="s">
        <v>16</v>
      </c>
      <c r="G1450" s="6" t="s">
        <v>2117</v>
      </c>
      <c r="H1450" s="6" t="s">
        <v>33</v>
      </c>
      <c r="I1450" s="7" t="n">
        <v>35400</v>
      </c>
      <c r="J1450" s="6" t="s">
        <v>19</v>
      </c>
      <c r="K1450" s="6" t="s">
        <v>20</v>
      </c>
    </row>
    <row r="1451" customFormat="false" ht="12.8" hidden="false" customHeight="false" outlineLevel="0" collapsed="false">
      <c r="A1451" s="8" t="str">
        <f aca="false">HYPERLINK("https://www.fabsurplus.com/sdi_catalog/salesItemDetails.do?id=97019")</f>
        <v>https://www.fabsurplus.com/sdi_catalog/salesItemDetails.do?id=97019</v>
      </c>
      <c r="B1451" s="8" t="s">
        <v>3504</v>
      </c>
      <c r="C1451" s="8" t="s">
        <v>3464</v>
      </c>
      <c r="D1451" s="8" t="s">
        <v>3505</v>
      </c>
      <c r="E1451" s="8" t="s">
        <v>3506</v>
      </c>
      <c r="F1451" s="8" t="s">
        <v>16</v>
      </c>
      <c r="G1451" s="8" t="s">
        <v>32</v>
      </c>
      <c r="H1451" s="8" t="s">
        <v>18</v>
      </c>
      <c r="I1451" s="9" t="n">
        <v>35582</v>
      </c>
      <c r="J1451" s="8" t="s">
        <v>19</v>
      </c>
      <c r="K1451" s="8" t="s">
        <v>20</v>
      </c>
    </row>
    <row r="1452" customFormat="false" ht="12.8" hidden="false" customHeight="false" outlineLevel="0" collapsed="false">
      <c r="A1452" s="8" t="str">
        <f aca="false">HYPERLINK("https://www.fabsurplus.com/sdi_catalog/salesItemDetails.do?id=98400")</f>
        <v>https://www.fabsurplus.com/sdi_catalog/salesItemDetails.do?id=98400</v>
      </c>
      <c r="B1452" s="8" t="s">
        <v>3507</v>
      </c>
      <c r="C1452" s="8" t="s">
        <v>3464</v>
      </c>
      <c r="D1452" s="8" t="s">
        <v>3508</v>
      </c>
      <c r="E1452" s="8" t="s">
        <v>3509</v>
      </c>
      <c r="F1452" s="8" t="s">
        <v>611</v>
      </c>
      <c r="G1452" s="8" t="s">
        <v>32</v>
      </c>
      <c r="H1452" s="8"/>
      <c r="I1452" s="8"/>
      <c r="J1452" s="8" t="s">
        <v>19</v>
      </c>
      <c r="K1452" s="8"/>
    </row>
    <row r="1453" customFormat="false" ht="12.8" hidden="false" customHeight="false" outlineLevel="0" collapsed="false">
      <c r="A1453" s="8" t="str">
        <f aca="false">HYPERLINK("https://www.fabsurplus.com/sdi_catalog/salesItemDetails.do?id=98549")</f>
        <v>https://www.fabsurplus.com/sdi_catalog/salesItemDetails.do?id=98549</v>
      </c>
      <c r="B1453" s="8" t="s">
        <v>3510</v>
      </c>
      <c r="C1453" s="8" t="s">
        <v>3464</v>
      </c>
      <c r="D1453" s="8" t="s">
        <v>3511</v>
      </c>
      <c r="E1453" s="8" t="s">
        <v>3512</v>
      </c>
      <c r="F1453" s="8" t="s">
        <v>16</v>
      </c>
      <c r="G1453" s="8" t="s">
        <v>32</v>
      </c>
      <c r="H1453" s="8" t="s">
        <v>311</v>
      </c>
      <c r="I1453" s="8"/>
      <c r="J1453" s="8" t="s">
        <v>81</v>
      </c>
      <c r="K1453" s="8" t="s">
        <v>20</v>
      </c>
    </row>
    <row r="1454" customFormat="false" ht="12.8" hidden="false" customHeight="false" outlineLevel="0" collapsed="false">
      <c r="A1454" s="6" t="str">
        <f aca="false">HYPERLINK("https://www.fabsurplus.com/sdi_catalog/salesItemDetails.do?id=98912")</f>
        <v>https://www.fabsurplus.com/sdi_catalog/salesItemDetails.do?id=98912</v>
      </c>
      <c r="B1454" s="6" t="s">
        <v>3513</v>
      </c>
      <c r="C1454" s="6" t="s">
        <v>3464</v>
      </c>
      <c r="D1454" s="6" t="s">
        <v>3511</v>
      </c>
      <c r="E1454" s="6" t="s">
        <v>3514</v>
      </c>
      <c r="F1454" s="6" t="s">
        <v>16</v>
      </c>
      <c r="G1454" s="6"/>
      <c r="H1454" s="6"/>
      <c r="I1454" s="6"/>
      <c r="J1454" s="6" t="s">
        <v>19</v>
      </c>
      <c r="K1454" s="6"/>
    </row>
    <row r="1455" customFormat="false" ht="12.8" hidden="false" customHeight="false" outlineLevel="0" collapsed="false">
      <c r="A1455" s="6" t="str">
        <f aca="false">HYPERLINK("https://www.fabsurplus.com/sdi_catalog/salesItemDetails.do?id=100188")</f>
        <v>https://www.fabsurplus.com/sdi_catalog/salesItemDetails.do?id=100188</v>
      </c>
      <c r="B1455" s="6" t="s">
        <v>3515</v>
      </c>
      <c r="C1455" s="6" t="s">
        <v>3464</v>
      </c>
      <c r="D1455" s="6" t="s">
        <v>3516</v>
      </c>
      <c r="E1455" s="6" t="s">
        <v>3517</v>
      </c>
      <c r="F1455" s="6" t="s">
        <v>16</v>
      </c>
      <c r="G1455" s="6" t="s">
        <v>697</v>
      </c>
      <c r="H1455" s="6"/>
      <c r="I1455" s="7" t="n">
        <v>40695</v>
      </c>
      <c r="J1455" s="6" t="s">
        <v>19</v>
      </c>
      <c r="K1455" s="6"/>
    </row>
    <row r="1456" customFormat="false" ht="12.8" hidden="false" customHeight="false" outlineLevel="0" collapsed="false">
      <c r="A1456" s="6" t="str">
        <f aca="false">HYPERLINK("https://www.fabsurplus.com/sdi_catalog/salesItemDetails.do?id=98548")</f>
        <v>https://www.fabsurplus.com/sdi_catalog/salesItemDetails.do?id=98548</v>
      </c>
      <c r="B1456" s="6" t="s">
        <v>3518</v>
      </c>
      <c r="C1456" s="6" t="s">
        <v>3464</v>
      </c>
      <c r="D1456" s="6" t="s">
        <v>3519</v>
      </c>
      <c r="E1456" s="6" t="s">
        <v>3512</v>
      </c>
      <c r="F1456" s="6" t="s">
        <v>211</v>
      </c>
      <c r="G1456" s="6" t="s">
        <v>32</v>
      </c>
      <c r="H1456" s="6" t="s">
        <v>311</v>
      </c>
      <c r="I1456" s="6"/>
      <c r="J1456" s="6" t="s">
        <v>81</v>
      </c>
      <c r="K1456" s="6"/>
    </row>
    <row r="1457" customFormat="false" ht="12.8" hidden="false" customHeight="false" outlineLevel="0" collapsed="false">
      <c r="A1457" s="6" t="str">
        <f aca="false">HYPERLINK("https://www.fabsurplus.com/sdi_catalog/salesItemDetails.do?id=98913")</f>
        <v>https://www.fabsurplus.com/sdi_catalog/salesItemDetails.do?id=98913</v>
      </c>
      <c r="B1457" s="6" t="s">
        <v>3520</v>
      </c>
      <c r="C1457" s="6" t="s">
        <v>3464</v>
      </c>
      <c r="D1457" s="6" t="s">
        <v>3521</v>
      </c>
      <c r="E1457" s="6" t="s">
        <v>3522</v>
      </c>
      <c r="F1457" s="6" t="s">
        <v>16</v>
      </c>
      <c r="G1457" s="6"/>
      <c r="H1457" s="6"/>
      <c r="I1457" s="6"/>
      <c r="J1457" s="6" t="s">
        <v>19</v>
      </c>
      <c r="K1457" s="6"/>
    </row>
    <row r="1458" customFormat="false" ht="12.8" hidden="false" customHeight="false" outlineLevel="0" collapsed="false">
      <c r="A1458" s="8" t="str">
        <f aca="false">HYPERLINK("https://www.fabsurplus.com/sdi_catalog/salesItemDetails.do?id=98127")</f>
        <v>https://www.fabsurplus.com/sdi_catalog/salesItemDetails.do?id=98127</v>
      </c>
      <c r="B1458" s="8" t="s">
        <v>3523</v>
      </c>
      <c r="C1458" s="8" t="s">
        <v>3464</v>
      </c>
      <c r="D1458" s="8" t="s">
        <v>3524</v>
      </c>
      <c r="E1458" s="8" t="s">
        <v>3525</v>
      </c>
      <c r="F1458" s="8" t="s">
        <v>16</v>
      </c>
      <c r="G1458" s="8" t="s">
        <v>310</v>
      </c>
      <c r="H1458" s="8"/>
      <c r="I1458" s="9" t="n">
        <v>39234</v>
      </c>
      <c r="J1458" s="8" t="s">
        <v>19</v>
      </c>
      <c r="K1458" s="8"/>
    </row>
    <row r="1459" customFormat="false" ht="12.8" hidden="false" customHeight="false" outlineLevel="0" collapsed="false">
      <c r="A1459" s="6" t="str">
        <f aca="false">HYPERLINK("https://www.fabsurplus.com/sdi_catalog/salesItemDetails.do?id=99948")</f>
        <v>https://www.fabsurplus.com/sdi_catalog/salesItemDetails.do?id=99948</v>
      </c>
      <c r="B1459" s="6" t="s">
        <v>3526</v>
      </c>
      <c r="C1459" s="6" t="s">
        <v>3464</v>
      </c>
      <c r="D1459" s="6" t="s">
        <v>3527</v>
      </c>
      <c r="E1459" s="6" t="s">
        <v>3528</v>
      </c>
      <c r="F1459" s="6" t="s">
        <v>16</v>
      </c>
      <c r="G1459" s="6" t="s">
        <v>310</v>
      </c>
      <c r="H1459" s="6"/>
      <c r="I1459" s="7" t="n">
        <v>39600</v>
      </c>
      <c r="J1459" s="6" t="s">
        <v>19</v>
      </c>
      <c r="K1459" s="6"/>
    </row>
    <row r="1460" customFormat="false" ht="12.8" hidden="false" customHeight="false" outlineLevel="0" collapsed="false">
      <c r="A1460" s="6" t="str">
        <f aca="false">HYPERLINK("https://www.fabsurplus.com/sdi_catalog/salesItemDetails.do?id=100730")</f>
        <v>https://www.fabsurplus.com/sdi_catalog/salesItemDetails.do?id=100730</v>
      </c>
      <c r="B1460" s="6" t="s">
        <v>3529</v>
      </c>
      <c r="C1460" s="6" t="s">
        <v>3464</v>
      </c>
      <c r="D1460" s="6" t="s">
        <v>3530</v>
      </c>
      <c r="E1460" s="6" t="s">
        <v>3531</v>
      </c>
      <c r="F1460" s="6" t="s">
        <v>16</v>
      </c>
      <c r="G1460" s="6"/>
      <c r="H1460" s="6"/>
      <c r="I1460" s="7" t="n">
        <v>40330</v>
      </c>
      <c r="J1460" s="6" t="s">
        <v>19</v>
      </c>
      <c r="K1460" s="6"/>
    </row>
    <row r="1461" customFormat="false" ht="12.8" hidden="false" customHeight="false" outlineLevel="0" collapsed="false">
      <c r="A1461" s="6" t="str">
        <f aca="false">HYPERLINK("https://www.fabsurplus.com/sdi_catalog/salesItemDetails.do?id=98816")</f>
        <v>https://www.fabsurplus.com/sdi_catalog/salesItemDetails.do?id=98816</v>
      </c>
      <c r="B1461" s="6" t="s">
        <v>3532</v>
      </c>
      <c r="C1461" s="6" t="s">
        <v>3464</v>
      </c>
      <c r="D1461" s="6" t="s">
        <v>3533</v>
      </c>
      <c r="E1461" s="6" t="s">
        <v>1960</v>
      </c>
      <c r="F1461" s="6" t="s">
        <v>16</v>
      </c>
      <c r="G1461" s="6" t="s">
        <v>310</v>
      </c>
      <c r="H1461" s="6"/>
      <c r="I1461" s="7" t="n">
        <v>38384</v>
      </c>
      <c r="J1461" s="6" t="s">
        <v>19</v>
      </c>
      <c r="K1461" s="6"/>
    </row>
    <row r="1462" customFormat="false" ht="12.8" hidden="false" customHeight="false" outlineLevel="0" collapsed="false">
      <c r="A1462" s="6" t="str">
        <f aca="false">HYPERLINK("https://www.fabsurplus.com/sdi_catalog/salesItemDetails.do?id=100176")</f>
        <v>https://www.fabsurplus.com/sdi_catalog/salesItemDetails.do?id=100176</v>
      </c>
      <c r="B1462" s="6" t="s">
        <v>3534</v>
      </c>
      <c r="C1462" s="6" t="s">
        <v>3464</v>
      </c>
      <c r="D1462" s="6" t="s">
        <v>3535</v>
      </c>
      <c r="E1462" s="6" t="s">
        <v>2135</v>
      </c>
      <c r="F1462" s="6" t="s">
        <v>16</v>
      </c>
      <c r="G1462" s="6"/>
      <c r="H1462" s="6"/>
      <c r="I1462" s="6"/>
      <c r="J1462" s="6" t="s">
        <v>19</v>
      </c>
      <c r="K1462" s="6"/>
    </row>
    <row r="1463" customFormat="false" ht="12.8" hidden="false" customHeight="false" outlineLevel="0" collapsed="false">
      <c r="A1463" s="8" t="str">
        <f aca="false">HYPERLINK("https://www.fabsurplus.com/sdi_catalog/salesItemDetails.do?id=100175")</f>
        <v>https://www.fabsurplus.com/sdi_catalog/salesItemDetails.do?id=100175</v>
      </c>
      <c r="B1463" s="8" t="s">
        <v>3536</v>
      </c>
      <c r="C1463" s="8" t="s">
        <v>3464</v>
      </c>
      <c r="D1463" s="8" t="s">
        <v>3535</v>
      </c>
      <c r="E1463" s="8" t="s">
        <v>2135</v>
      </c>
      <c r="F1463" s="8" t="s">
        <v>16</v>
      </c>
      <c r="G1463" s="8" t="s">
        <v>686</v>
      </c>
      <c r="H1463" s="8"/>
      <c r="I1463" s="8"/>
      <c r="J1463" s="8" t="s">
        <v>19</v>
      </c>
      <c r="K1463" s="8"/>
    </row>
    <row r="1464" customFormat="false" ht="12.8" hidden="false" customHeight="false" outlineLevel="0" collapsed="false">
      <c r="A1464" s="8" t="str">
        <f aca="false">HYPERLINK("https://www.fabsurplus.com/sdi_catalog/salesItemDetails.do?id=97453")</f>
        <v>https://www.fabsurplus.com/sdi_catalog/salesItemDetails.do?id=97453</v>
      </c>
      <c r="B1464" s="8" t="s">
        <v>3537</v>
      </c>
      <c r="C1464" s="8" t="s">
        <v>3464</v>
      </c>
      <c r="D1464" s="8" t="s">
        <v>3538</v>
      </c>
      <c r="E1464" s="8" t="s">
        <v>2135</v>
      </c>
      <c r="F1464" s="8" t="s">
        <v>16</v>
      </c>
      <c r="G1464" s="8" t="s">
        <v>310</v>
      </c>
      <c r="H1464" s="8" t="s">
        <v>33</v>
      </c>
      <c r="I1464" s="9" t="n">
        <v>40299</v>
      </c>
      <c r="J1464" s="8" t="s">
        <v>19</v>
      </c>
      <c r="K1464" s="8" t="s">
        <v>20</v>
      </c>
    </row>
    <row r="1465" customFormat="false" ht="12.8" hidden="false" customHeight="false" outlineLevel="0" collapsed="false">
      <c r="A1465" s="8" t="str">
        <f aca="false">HYPERLINK("https://www.fabsurplus.com/sdi_catalog/salesItemDetails.do?id=100179")</f>
        <v>https://www.fabsurplus.com/sdi_catalog/salesItemDetails.do?id=100179</v>
      </c>
      <c r="B1465" s="8" t="s">
        <v>3539</v>
      </c>
      <c r="C1465" s="8" t="s">
        <v>3464</v>
      </c>
      <c r="D1465" s="8" t="s">
        <v>3540</v>
      </c>
      <c r="E1465" s="8" t="s">
        <v>2135</v>
      </c>
      <c r="F1465" s="8" t="s">
        <v>16</v>
      </c>
      <c r="G1465" s="8" t="s">
        <v>686</v>
      </c>
      <c r="H1465" s="8"/>
      <c r="I1465" s="9" t="n">
        <v>40695</v>
      </c>
      <c r="J1465" s="8" t="s">
        <v>19</v>
      </c>
      <c r="K1465" s="8"/>
    </row>
    <row r="1466" customFormat="false" ht="12.8" hidden="false" customHeight="false" outlineLevel="0" collapsed="false">
      <c r="A1466" s="6" t="str">
        <f aca="false">HYPERLINK("https://www.fabsurplus.com/sdi_catalog/salesItemDetails.do?id=100178")</f>
        <v>https://www.fabsurplus.com/sdi_catalog/salesItemDetails.do?id=100178</v>
      </c>
      <c r="B1466" s="6" t="s">
        <v>3541</v>
      </c>
      <c r="C1466" s="6" t="s">
        <v>3464</v>
      </c>
      <c r="D1466" s="6" t="s">
        <v>3540</v>
      </c>
      <c r="E1466" s="6" t="s">
        <v>2135</v>
      </c>
      <c r="F1466" s="6" t="s">
        <v>16</v>
      </c>
      <c r="G1466" s="6" t="s">
        <v>686</v>
      </c>
      <c r="H1466" s="6"/>
      <c r="I1466" s="6"/>
      <c r="J1466" s="6" t="s">
        <v>19</v>
      </c>
      <c r="K1466" s="6"/>
    </row>
    <row r="1467" customFormat="false" ht="12.8" hidden="false" customHeight="false" outlineLevel="0" collapsed="false">
      <c r="A1467" s="6" t="str">
        <f aca="false">HYPERLINK("https://www.fabsurplus.com/sdi_catalog/salesItemDetails.do?id=100177")</f>
        <v>https://www.fabsurplus.com/sdi_catalog/salesItemDetails.do?id=100177</v>
      </c>
      <c r="B1467" s="6" t="s">
        <v>3542</v>
      </c>
      <c r="C1467" s="6" t="s">
        <v>3464</v>
      </c>
      <c r="D1467" s="6" t="s">
        <v>3540</v>
      </c>
      <c r="E1467" s="6" t="s">
        <v>2135</v>
      </c>
      <c r="F1467" s="6" t="s">
        <v>16</v>
      </c>
      <c r="G1467" s="6" t="s">
        <v>686</v>
      </c>
      <c r="H1467" s="6"/>
      <c r="I1467" s="6"/>
      <c r="J1467" s="6" t="s">
        <v>19</v>
      </c>
      <c r="K1467" s="6"/>
    </row>
    <row r="1468" customFormat="false" ht="12.8" hidden="false" customHeight="false" outlineLevel="0" collapsed="false">
      <c r="A1468" s="8" t="str">
        <f aca="false">HYPERLINK("https://www.fabsurplus.com/sdi_catalog/salesItemDetails.do?id=98128")</f>
        <v>https://www.fabsurplus.com/sdi_catalog/salesItemDetails.do?id=98128</v>
      </c>
      <c r="B1468" s="8" t="s">
        <v>3543</v>
      </c>
      <c r="C1468" s="8" t="s">
        <v>3464</v>
      </c>
      <c r="D1468" s="8" t="s">
        <v>3544</v>
      </c>
      <c r="E1468" s="8" t="s">
        <v>3545</v>
      </c>
      <c r="F1468" s="8" t="s">
        <v>16</v>
      </c>
      <c r="G1468" s="8" t="s">
        <v>310</v>
      </c>
      <c r="H1468" s="8"/>
      <c r="I1468" s="9" t="n">
        <v>41061</v>
      </c>
      <c r="J1468" s="8" t="s">
        <v>19</v>
      </c>
      <c r="K1468" s="8"/>
    </row>
    <row r="1469" customFormat="false" ht="12.8" hidden="false" customHeight="false" outlineLevel="0" collapsed="false">
      <c r="A1469" s="8" t="str">
        <f aca="false">HYPERLINK("https://www.fabsurplus.com/sdi_catalog/salesItemDetails.do?id=100181")</f>
        <v>https://www.fabsurplus.com/sdi_catalog/salesItemDetails.do?id=100181</v>
      </c>
      <c r="B1469" s="8" t="s">
        <v>3546</v>
      </c>
      <c r="C1469" s="8" t="s">
        <v>3464</v>
      </c>
      <c r="D1469" s="8" t="s">
        <v>3547</v>
      </c>
      <c r="E1469" s="8" t="s">
        <v>2135</v>
      </c>
      <c r="F1469" s="8" t="s">
        <v>16</v>
      </c>
      <c r="G1469" s="8" t="s">
        <v>686</v>
      </c>
      <c r="H1469" s="8"/>
      <c r="I1469" s="8"/>
      <c r="J1469" s="8" t="s">
        <v>19</v>
      </c>
      <c r="K1469" s="8"/>
    </row>
    <row r="1470" customFormat="false" ht="12.8" hidden="false" customHeight="false" outlineLevel="0" collapsed="false">
      <c r="A1470" s="6" t="str">
        <f aca="false">HYPERLINK("https://www.fabsurplus.com/sdi_catalog/salesItemDetails.do?id=100180")</f>
        <v>https://www.fabsurplus.com/sdi_catalog/salesItemDetails.do?id=100180</v>
      </c>
      <c r="B1470" s="6" t="s">
        <v>3548</v>
      </c>
      <c r="C1470" s="6" t="s">
        <v>3464</v>
      </c>
      <c r="D1470" s="6" t="s">
        <v>3547</v>
      </c>
      <c r="E1470" s="6" t="s">
        <v>2135</v>
      </c>
      <c r="F1470" s="6" t="s">
        <v>16</v>
      </c>
      <c r="G1470" s="6" t="s">
        <v>686</v>
      </c>
      <c r="H1470" s="6"/>
      <c r="I1470" s="6"/>
      <c r="J1470" s="6" t="s">
        <v>19</v>
      </c>
      <c r="K1470" s="6"/>
    </row>
    <row r="1471" customFormat="false" ht="12.8" hidden="false" customHeight="false" outlineLevel="0" collapsed="false">
      <c r="A1471" s="6" t="str">
        <f aca="false">HYPERLINK("https://www.fabsurplus.com/sdi_catalog/salesItemDetails.do?id=98817")</f>
        <v>https://www.fabsurplus.com/sdi_catalog/salesItemDetails.do?id=98817</v>
      </c>
      <c r="B1471" s="6" t="s">
        <v>3549</v>
      </c>
      <c r="C1471" s="6" t="s">
        <v>3464</v>
      </c>
      <c r="D1471" s="6" t="s">
        <v>3550</v>
      </c>
      <c r="E1471" s="6" t="s">
        <v>1960</v>
      </c>
      <c r="F1471" s="6" t="s">
        <v>16</v>
      </c>
      <c r="G1471" s="6" t="s">
        <v>310</v>
      </c>
      <c r="H1471" s="6"/>
      <c r="I1471" s="7" t="n">
        <v>38869</v>
      </c>
      <c r="J1471" s="6" t="s">
        <v>19</v>
      </c>
      <c r="K1471" s="6"/>
    </row>
    <row r="1472" customFormat="false" ht="12.8" hidden="false" customHeight="false" outlineLevel="0" collapsed="false">
      <c r="A1472" s="8" t="str">
        <f aca="false">HYPERLINK("https://www.fabsurplus.com/sdi_catalog/salesItemDetails.do?id=100185")</f>
        <v>https://www.fabsurplus.com/sdi_catalog/salesItemDetails.do?id=100185</v>
      </c>
      <c r="B1472" s="8" t="s">
        <v>3551</v>
      </c>
      <c r="C1472" s="8" t="s">
        <v>3464</v>
      </c>
      <c r="D1472" s="8" t="s">
        <v>3552</v>
      </c>
      <c r="E1472" s="8" t="s">
        <v>3553</v>
      </c>
      <c r="F1472" s="8" t="s">
        <v>16</v>
      </c>
      <c r="G1472" s="8" t="s">
        <v>686</v>
      </c>
      <c r="H1472" s="8"/>
      <c r="I1472" s="8"/>
      <c r="J1472" s="8" t="s">
        <v>19</v>
      </c>
      <c r="K1472" s="8"/>
    </row>
    <row r="1473" customFormat="false" ht="12.8" hidden="false" customHeight="false" outlineLevel="0" collapsed="false">
      <c r="A1473" s="6" t="str">
        <f aca="false">HYPERLINK("https://www.fabsurplus.com/sdi_catalog/salesItemDetails.do?id=100184")</f>
        <v>https://www.fabsurplus.com/sdi_catalog/salesItemDetails.do?id=100184</v>
      </c>
      <c r="B1473" s="6" t="s">
        <v>3554</v>
      </c>
      <c r="C1473" s="6" t="s">
        <v>3464</v>
      </c>
      <c r="D1473" s="6" t="s">
        <v>3552</v>
      </c>
      <c r="E1473" s="6" t="s">
        <v>3553</v>
      </c>
      <c r="F1473" s="6" t="s">
        <v>16</v>
      </c>
      <c r="G1473" s="6" t="s">
        <v>686</v>
      </c>
      <c r="H1473" s="6"/>
      <c r="I1473" s="6"/>
      <c r="J1473" s="6" t="s">
        <v>19</v>
      </c>
      <c r="K1473" s="6"/>
    </row>
    <row r="1474" customFormat="false" ht="12.8" hidden="false" customHeight="false" outlineLevel="0" collapsed="false">
      <c r="A1474" s="8" t="str">
        <f aca="false">HYPERLINK("https://www.fabsurplus.com/sdi_catalog/salesItemDetails.do?id=100183")</f>
        <v>https://www.fabsurplus.com/sdi_catalog/salesItemDetails.do?id=100183</v>
      </c>
      <c r="B1474" s="8" t="s">
        <v>3555</v>
      </c>
      <c r="C1474" s="8" t="s">
        <v>3464</v>
      </c>
      <c r="D1474" s="8" t="s">
        <v>3552</v>
      </c>
      <c r="E1474" s="8" t="s">
        <v>3553</v>
      </c>
      <c r="F1474" s="8" t="s">
        <v>16</v>
      </c>
      <c r="G1474" s="8" t="s">
        <v>686</v>
      </c>
      <c r="H1474" s="8"/>
      <c r="I1474" s="8"/>
      <c r="J1474" s="8" t="s">
        <v>19</v>
      </c>
      <c r="K1474" s="8"/>
    </row>
    <row r="1475" customFormat="false" ht="12.8" hidden="false" customHeight="false" outlineLevel="0" collapsed="false">
      <c r="A1475" s="8" t="str">
        <f aca="false">HYPERLINK("https://www.fabsurplus.com/sdi_catalog/salesItemDetails.do?id=100182")</f>
        <v>https://www.fabsurplus.com/sdi_catalog/salesItemDetails.do?id=100182</v>
      </c>
      <c r="B1475" s="8" t="s">
        <v>3556</v>
      </c>
      <c r="C1475" s="8" t="s">
        <v>3464</v>
      </c>
      <c r="D1475" s="8" t="s">
        <v>3552</v>
      </c>
      <c r="E1475" s="8" t="s">
        <v>3553</v>
      </c>
      <c r="F1475" s="8" t="s">
        <v>16</v>
      </c>
      <c r="G1475" s="8" t="s">
        <v>686</v>
      </c>
      <c r="H1475" s="8"/>
      <c r="I1475" s="8"/>
      <c r="J1475" s="8" t="s">
        <v>19</v>
      </c>
      <c r="K1475" s="8"/>
    </row>
    <row r="1476" customFormat="false" ht="12.8" hidden="false" customHeight="false" outlineLevel="0" collapsed="false">
      <c r="A1476" s="6" t="str">
        <f aca="false">HYPERLINK("https://www.fabsurplus.com/sdi_catalog/salesItemDetails.do?id=98129")</f>
        <v>https://www.fabsurplus.com/sdi_catalog/salesItemDetails.do?id=98129</v>
      </c>
      <c r="B1476" s="6" t="s">
        <v>3557</v>
      </c>
      <c r="C1476" s="6" t="s">
        <v>3464</v>
      </c>
      <c r="D1476" s="6" t="s">
        <v>3552</v>
      </c>
      <c r="E1476" s="6" t="s">
        <v>3558</v>
      </c>
      <c r="F1476" s="6" t="s">
        <v>16</v>
      </c>
      <c r="G1476" s="6" t="s">
        <v>310</v>
      </c>
      <c r="H1476" s="6"/>
      <c r="I1476" s="7" t="n">
        <v>37773</v>
      </c>
      <c r="J1476" s="6" t="s">
        <v>19</v>
      </c>
      <c r="K1476" s="6"/>
    </row>
    <row r="1477" customFormat="false" ht="12.8" hidden="false" customHeight="false" outlineLevel="0" collapsed="false">
      <c r="A1477" s="6" t="str">
        <f aca="false">HYPERLINK("https://www.fabsurplus.com/sdi_catalog/salesItemDetails.do?id=99055")</f>
        <v>https://www.fabsurplus.com/sdi_catalog/salesItemDetails.do?id=99055</v>
      </c>
      <c r="B1477" s="6" t="s">
        <v>3559</v>
      </c>
      <c r="C1477" s="6" t="s">
        <v>3464</v>
      </c>
      <c r="D1477" s="6" t="s">
        <v>3560</v>
      </c>
      <c r="E1477" s="6" t="s">
        <v>3561</v>
      </c>
      <c r="F1477" s="6" t="s">
        <v>16</v>
      </c>
      <c r="G1477" s="6"/>
      <c r="H1477" s="6" t="s">
        <v>18</v>
      </c>
      <c r="I1477" s="7" t="n">
        <v>41000</v>
      </c>
      <c r="J1477" s="6" t="s">
        <v>19</v>
      </c>
      <c r="K1477" s="6" t="s">
        <v>20</v>
      </c>
    </row>
    <row r="1478" customFormat="false" ht="12.8" hidden="false" customHeight="false" outlineLevel="0" collapsed="false">
      <c r="A1478" s="6" t="str">
        <f aca="false">HYPERLINK("https://www.fabsurplus.com/sdi_catalog/salesItemDetails.do?id=100731")</f>
        <v>https://www.fabsurplus.com/sdi_catalog/salesItemDetails.do?id=100731</v>
      </c>
      <c r="B1478" s="6" t="s">
        <v>3562</v>
      </c>
      <c r="C1478" s="6" t="s">
        <v>3464</v>
      </c>
      <c r="D1478" s="6" t="s">
        <v>3563</v>
      </c>
      <c r="E1478" s="6" t="s">
        <v>3564</v>
      </c>
      <c r="F1478" s="6" t="s">
        <v>16</v>
      </c>
      <c r="G1478" s="6"/>
      <c r="H1478" s="6"/>
      <c r="I1478" s="6"/>
      <c r="J1478" s="6" t="s">
        <v>19</v>
      </c>
      <c r="K1478" s="6"/>
    </row>
    <row r="1479" customFormat="false" ht="12.8" hidden="false" customHeight="false" outlineLevel="0" collapsed="false">
      <c r="A1479" s="6" t="str">
        <f aca="false">HYPERLINK("https://www.fabsurplus.com/sdi_catalog/salesItemDetails.do?id=97935")</f>
        <v>https://www.fabsurplus.com/sdi_catalog/salesItemDetails.do?id=97935</v>
      </c>
      <c r="B1479" s="6" t="s">
        <v>3565</v>
      </c>
      <c r="C1479" s="6" t="s">
        <v>3464</v>
      </c>
      <c r="D1479" s="6" t="s">
        <v>3566</v>
      </c>
      <c r="E1479" s="6" t="s">
        <v>3567</v>
      </c>
      <c r="F1479" s="6" t="s">
        <v>16</v>
      </c>
      <c r="G1479" s="6" t="s">
        <v>1851</v>
      </c>
      <c r="H1479" s="6"/>
      <c r="I1479" s="6"/>
      <c r="J1479" s="6" t="s">
        <v>81</v>
      </c>
      <c r="K1479" s="6"/>
    </row>
    <row r="1480" customFormat="false" ht="12.8" hidden="false" customHeight="false" outlineLevel="0" collapsed="false">
      <c r="A1480" s="6" t="str">
        <f aca="false">HYPERLINK("https://www.fabsurplus.com/sdi_catalog/salesItemDetails.do?id=98002")</f>
        <v>https://www.fabsurplus.com/sdi_catalog/salesItemDetails.do?id=98002</v>
      </c>
      <c r="B1480" s="6" t="s">
        <v>3568</v>
      </c>
      <c r="C1480" s="6" t="s">
        <v>3464</v>
      </c>
      <c r="D1480" s="6" t="s">
        <v>3569</v>
      </c>
      <c r="E1480" s="6" t="s">
        <v>3570</v>
      </c>
      <c r="F1480" s="6" t="s">
        <v>16</v>
      </c>
      <c r="G1480" s="6" t="s">
        <v>310</v>
      </c>
      <c r="H1480" s="6"/>
      <c r="I1480" s="7" t="n">
        <v>40695</v>
      </c>
      <c r="J1480" s="6" t="s">
        <v>19</v>
      </c>
      <c r="K1480" s="6"/>
    </row>
    <row r="1481" customFormat="false" ht="12.8" hidden="false" customHeight="false" outlineLevel="0" collapsed="false">
      <c r="A1481" s="8" t="str">
        <f aca="false">HYPERLINK("https://www.fabsurplus.com/sdi_catalog/salesItemDetails.do?id=98551")</f>
        <v>https://www.fabsurplus.com/sdi_catalog/salesItemDetails.do?id=98551</v>
      </c>
      <c r="B1481" s="8" t="s">
        <v>3571</v>
      </c>
      <c r="C1481" s="8" t="s">
        <v>3464</v>
      </c>
      <c r="D1481" s="8" t="s">
        <v>3572</v>
      </c>
      <c r="E1481" s="8" t="s">
        <v>3573</v>
      </c>
      <c r="F1481" s="8" t="s">
        <v>16</v>
      </c>
      <c r="G1481" s="8" t="s">
        <v>32</v>
      </c>
      <c r="H1481" s="8" t="s">
        <v>18</v>
      </c>
      <c r="I1481" s="8"/>
      <c r="J1481" s="8" t="s">
        <v>19</v>
      </c>
      <c r="K1481" s="8" t="s">
        <v>20</v>
      </c>
    </row>
    <row r="1482" customFormat="false" ht="12.8" hidden="false" customHeight="false" outlineLevel="0" collapsed="false">
      <c r="A1482" s="6" t="str">
        <f aca="false">HYPERLINK("https://www.fabsurplus.com/sdi_catalog/salesItemDetails.do?id=100186")</f>
        <v>https://www.fabsurplus.com/sdi_catalog/salesItemDetails.do?id=100186</v>
      </c>
      <c r="B1482" s="6" t="s">
        <v>3574</v>
      </c>
      <c r="C1482" s="6" t="s">
        <v>3464</v>
      </c>
      <c r="D1482" s="6" t="s">
        <v>3575</v>
      </c>
      <c r="E1482" s="6" t="s">
        <v>3202</v>
      </c>
      <c r="F1482" s="6" t="s">
        <v>16</v>
      </c>
      <c r="G1482" s="6" t="s">
        <v>686</v>
      </c>
      <c r="H1482" s="6"/>
      <c r="I1482" s="7" t="n">
        <v>39234</v>
      </c>
      <c r="J1482" s="6" t="s">
        <v>19</v>
      </c>
      <c r="K1482" s="6"/>
    </row>
    <row r="1483" customFormat="false" ht="12.8" hidden="false" customHeight="false" outlineLevel="0" collapsed="false">
      <c r="A1483" s="8" t="str">
        <f aca="false">HYPERLINK("https://www.fabsurplus.com/sdi_catalog/salesItemDetails.do?id=98003")</f>
        <v>https://www.fabsurplus.com/sdi_catalog/salesItemDetails.do?id=98003</v>
      </c>
      <c r="B1483" s="8" t="s">
        <v>3576</v>
      </c>
      <c r="C1483" s="8" t="s">
        <v>3464</v>
      </c>
      <c r="D1483" s="8" t="s">
        <v>3577</v>
      </c>
      <c r="E1483" s="8" t="s">
        <v>3570</v>
      </c>
      <c r="F1483" s="8" t="s">
        <v>16</v>
      </c>
      <c r="G1483" s="8" t="s">
        <v>310</v>
      </c>
      <c r="H1483" s="8"/>
      <c r="I1483" s="9" t="n">
        <v>38504</v>
      </c>
      <c r="J1483" s="8" t="s">
        <v>19</v>
      </c>
      <c r="K1483" s="8"/>
    </row>
    <row r="1484" customFormat="false" ht="12.8" hidden="false" customHeight="false" outlineLevel="0" collapsed="false">
      <c r="A1484" s="6" t="str">
        <f aca="false">HYPERLINK("https://www.fabsurplus.com/sdi_catalog/salesItemDetails.do?id=100187")</f>
        <v>https://www.fabsurplus.com/sdi_catalog/salesItemDetails.do?id=100187</v>
      </c>
      <c r="B1484" s="6" t="s">
        <v>3578</v>
      </c>
      <c r="C1484" s="6" t="s">
        <v>3464</v>
      </c>
      <c r="D1484" s="6" t="s">
        <v>3579</v>
      </c>
      <c r="E1484" s="6" t="s">
        <v>3202</v>
      </c>
      <c r="F1484" s="6" t="s">
        <v>16</v>
      </c>
      <c r="G1484" s="6" t="s">
        <v>686</v>
      </c>
      <c r="H1484" s="6"/>
      <c r="I1484" s="7" t="n">
        <v>39965</v>
      </c>
      <c r="J1484" s="6" t="s">
        <v>19</v>
      </c>
      <c r="K1484" s="6"/>
    </row>
    <row r="1485" customFormat="false" ht="12.8" hidden="false" customHeight="false" outlineLevel="0" collapsed="false">
      <c r="A1485" s="6" t="str">
        <f aca="false">HYPERLINK("https://www.fabsurplus.com/sdi_catalog/salesItemDetails.do?id=98818")</f>
        <v>https://www.fabsurplus.com/sdi_catalog/salesItemDetails.do?id=98818</v>
      </c>
      <c r="B1485" s="6" t="s">
        <v>3580</v>
      </c>
      <c r="C1485" s="6" t="s">
        <v>3464</v>
      </c>
      <c r="D1485" s="6" t="s">
        <v>3581</v>
      </c>
      <c r="E1485" s="6" t="s">
        <v>3553</v>
      </c>
      <c r="F1485" s="6" t="s">
        <v>16</v>
      </c>
      <c r="G1485" s="6" t="s">
        <v>310</v>
      </c>
      <c r="H1485" s="6" t="s">
        <v>18</v>
      </c>
      <c r="I1485" s="7" t="n">
        <v>37135</v>
      </c>
      <c r="J1485" s="6" t="s">
        <v>19</v>
      </c>
      <c r="K1485" s="6" t="s">
        <v>20</v>
      </c>
    </row>
    <row r="1486" customFormat="false" ht="12.8" hidden="false" customHeight="false" outlineLevel="0" collapsed="false">
      <c r="A1486" s="6" t="str">
        <f aca="false">HYPERLINK("https://www.fabsurplus.com/sdi_catalog/salesItemDetails.do?id=99010")</f>
        <v>https://www.fabsurplus.com/sdi_catalog/salesItemDetails.do?id=99010</v>
      </c>
      <c r="B1486" s="6" t="s">
        <v>3582</v>
      </c>
      <c r="C1486" s="6" t="s">
        <v>3464</v>
      </c>
      <c r="D1486" s="6" t="s">
        <v>3581</v>
      </c>
      <c r="E1486" s="6" t="s">
        <v>3583</v>
      </c>
      <c r="F1486" s="6" t="s">
        <v>16</v>
      </c>
      <c r="G1486" s="6" t="s">
        <v>310</v>
      </c>
      <c r="H1486" s="6"/>
      <c r="I1486" s="7" t="n">
        <v>37742</v>
      </c>
      <c r="J1486" s="6" t="s">
        <v>19</v>
      </c>
      <c r="K1486" s="6"/>
    </row>
    <row r="1487" customFormat="false" ht="12.8" hidden="false" customHeight="false" outlineLevel="0" collapsed="false">
      <c r="A1487" s="6" t="str">
        <f aca="false">HYPERLINK("https://www.fabsurplus.com/sdi_catalog/salesItemDetails.do?id=98130")</f>
        <v>https://www.fabsurplus.com/sdi_catalog/salesItemDetails.do?id=98130</v>
      </c>
      <c r="B1487" s="6" t="s">
        <v>3584</v>
      </c>
      <c r="C1487" s="6" t="s">
        <v>3464</v>
      </c>
      <c r="D1487" s="6" t="s">
        <v>3585</v>
      </c>
      <c r="E1487" s="6" t="s">
        <v>3586</v>
      </c>
      <c r="F1487" s="6" t="s">
        <v>16</v>
      </c>
      <c r="G1487" s="6" t="s">
        <v>310</v>
      </c>
      <c r="H1487" s="6"/>
      <c r="I1487" s="7" t="n">
        <v>38139</v>
      </c>
      <c r="J1487" s="6" t="s">
        <v>19</v>
      </c>
      <c r="K1487" s="6"/>
    </row>
    <row r="1488" customFormat="false" ht="12.8" hidden="false" customHeight="false" outlineLevel="0" collapsed="false">
      <c r="A1488" s="6" t="str">
        <f aca="false">HYPERLINK("https://www.fabsurplus.com/sdi_catalog/salesItemDetails.do?id=99912")</f>
        <v>https://www.fabsurplus.com/sdi_catalog/salesItemDetails.do?id=99912</v>
      </c>
      <c r="B1488" s="6" t="s">
        <v>3587</v>
      </c>
      <c r="C1488" s="6" t="s">
        <v>3464</v>
      </c>
      <c r="D1488" s="6" t="s">
        <v>3588</v>
      </c>
      <c r="E1488" s="6" t="s">
        <v>3468</v>
      </c>
      <c r="F1488" s="6" t="s">
        <v>16</v>
      </c>
      <c r="G1488" s="6" t="s">
        <v>32</v>
      </c>
      <c r="H1488" s="6"/>
      <c r="I1488" s="7" t="n">
        <v>34851</v>
      </c>
      <c r="J1488" s="6" t="s">
        <v>19</v>
      </c>
      <c r="K1488" s="6"/>
    </row>
    <row r="1489" customFormat="false" ht="12.8" hidden="false" customHeight="false" outlineLevel="0" collapsed="false">
      <c r="A1489" s="8" t="str">
        <f aca="false">HYPERLINK("https://www.fabsurplus.com/sdi_catalog/salesItemDetails.do?id=97018")</f>
        <v>https://www.fabsurplus.com/sdi_catalog/salesItemDetails.do?id=97018</v>
      </c>
      <c r="B1489" s="8" t="s">
        <v>3589</v>
      </c>
      <c r="C1489" s="8" t="s">
        <v>3464</v>
      </c>
      <c r="D1489" s="8" t="s">
        <v>3590</v>
      </c>
      <c r="E1489" s="8" t="s">
        <v>3591</v>
      </c>
      <c r="F1489" s="8" t="s">
        <v>16</v>
      </c>
      <c r="G1489" s="8" t="s">
        <v>32</v>
      </c>
      <c r="H1489" s="8"/>
      <c r="I1489" s="9" t="n">
        <v>34851</v>
      </c>
      <c r="J1489" s="8" t="s">
        <v>19</v>
      </c>
      <c r="K1489" s="8"/>
    </row>
    <row r="1490" customFormat="false" ht="12.8" hidden="false" customHeight="false" outlineLevel="0" collapsed="false">
      <c r="A1490" s="6" t="str">
        <f aca="false">HYPERLINK("https://www.fabsurplus.com/sdi_catalog/salesItemDetails.do?id=99860")</f>
        <v>https://www.fabsurplus.com/sdi_catalog/salesItemDetails.do?id=99860</v>
      </c>
      <c r="B1490" s="6" t="s">
        <v>3592</v>
      </c>
      <c r="C1490" s="6" t="s">
        <v>3464</v>
      </c>
      <c r="D1490" s="6" t="s">
        <v>3593</v>
      </c>
      <c r="E1490" s="6" t="s">
        <v>3531</v>
      </c>
      <c r="F1490" s="6" t="s">
        <v>16</v>
      </c>
      <c r="G1490" s="6" t="s">
        <v>2208</v>
      </c>
      <c r="H1490" s="6"/>
      <c r="I1490" s="7" t="n">
        <v>36526</v>
      </c>
      <c r="J1490" s="6" t="s">
        <v>81</v>
      </c>
      <c r="K1490" s="6"/>
    </row>
    <row r="1491" customFormat="false" ht="12.8" hidden="false" customHeight="false" outlineLevel="0" collapsed="false">
      <c r="A1491" s="8" t="str">
        <f aca="false">HYPERLINK("https://www.fabsurplus.com/sdi_catalog/salesItemDetails.do?id=98402")</f>
        <v>https://www.fabsurplus.com/sdi_catalog/salesItemDetails.do?id=98402</v>
      </c>
      <c r="B1491" s="8" t="s">
        <v>3594</v>
      </c>
      <c r="C1491" s="8" t="s">
        <v>3464</v>
      </c>
      <c r="D1491" s="8" t="s">
        <v>3595</v>
      </c>
      <c r="E1491" s="8" t="s">
        <v>3596</v>
      </c>
      <c r="F1491" s="8" t="s">
        <v>16</v>
      </c>
      <c r="G1491" s="8"/>
      <c r="H1491" s="8"/>
      <c r="I1491" s="8"/>
      <c r="J1491" s="8" t="s">
        <v>19</v>
      </c>
      <c r="K1491" s="8"/>
    </row>
    <row r="1492" customFormat="false" ht="12.8" hidden="false" customHeight="false" outlineLevel="0" collapsed="false">
      <c r="A1492" s="8" t="str">
        <f aca="false">HYPERLINK("https://www.fabsurplus.com/sdi_catalog/salesItemDetails.do?id=98401")</f>
        <v>https://www.fabsurplus.com/sdi_catalog/salesItemDetails.do?id=98401</v>
      </c>
      <c r="B1492" s="8" t="s">
        <v>3597</v>
      </c>
      <c r="C1492" s="8" t="s">
        <v>3464</v>
      </c>
      <c r="D1492" s="8" t="s">
        <v>3598</v>
      </c>
      <c r="E1492" s="8" t="s">
        <v>3599</v>
      </c>
      <c r="F1492" s="8" t="s">
        <v>16</v>
      </c>
      <c r="G1492" s="8" t="s">
        <v>372</v>
      </c>
      <c r="H1492" s="8"/>
      <c r="I1492" s="8"/>
      <c r="J1492" s="8" t="s">
        <v>19</v>
      </c>
      <c r="K1492" s="8"/>
    </row>
    <row r="1493" customFormat="false" ht="12.8" hidden="false" customHeight="false" outlineLevel="0" collapsed="false">
      <c r="A1493" s="8" t="str">
        <f aca="false">HYPERLINK("https://www.fabsurplus.com/sdi_catalog/salesItemDetails.do?id=99011")</f>
        <v>https://www.fabsurplus.com/sdi_catalog/salesItemDetails.do?id=99011</v>
      </c>
      <c r="B1493" s="8" t="s">
        <v>3600</v>
      </c>
      <c r="C1493" s="8" t="s">
        <v>3464</v>
      </c>
      <c r="D1493" s="8" t="s">
        <v>3601</v>
      </c>
      <c r="E1493" s="8" t="s">
        <v>3602</v>
      </c>
      <c r="F1493" s="8" t="s">
        <v>16</v>
      </c>
      <c r="G1493" s="8"/>
      <c r="H1493" s="8"/>
      <c r="I1493" s="9" t="n">
        <v>38504</v>
      </c>
      <c r="J1493" s="8" t="s">
        <v>19</v>
      </c>
      <c r="K1493" s="8"/>
    </row>
    <row r="1494" customFormat="false" ht="12.8" hidden="false" customHeight="false" outlineLevel="0" collapsed="false">
      <c r="A1494" s="6" t="str">
        <f aca="false">HYPERLINK("https://www.fabsurplus.com/sdi_catalog/salesItemDetails.do?id=98819")</f>
        <v>https://www.fabsurplus.com/sdi_catalog/salesItemDetails.do?id=98819</v>
      </c>
      <c r="B1494" s="6" t="s">
        <v>3603</v>
      </c>
      <c r="C1494" s="6" t="s">
        <v>3464</v>
      </c>
      <c r="D1494" s="6" t="s">
        <v>3604</v>
      </c>
      <c r="E1494" s="6" t="s">
        <v>1531</v>
      </c>
      <c r="F1494" s="6" t="s">
        <v>16</v>
      </c>
      <c r="G1494" s="6" t="s">
        <v>310</v>
      </c>
      <c r="H1494" s="6"/>
      <c r="I1494" s="7" t="n">
        <v>39114</v>
      </c>
      <c r="J1494" s="6" t="s">
        <v>19</v>
      </c>
      <c r="K1494" s="6"/>
    </row>
    <row r="1495" customFormat="false" ht="12.8" hidden="false" customHeight="false" outlineLevel="0" collapsed="false">
      <c r="A1495" s="8" t="str">
        <f aca="false">HYPERLINK("https://www.fabsurplus.com/sdi_catalog/salesItemDetails.do?id=98132")</f>
        <v>https://www.fabsurplus.com/sdi_catalog/salesItemDetails.do?id=98132</v>
      </c>
      <c r="B1495" s="8" t="s">
        <v>3605</v>
      </c>
      <c r="C1495" s="8" t="s">
        <v>3464</v>
      </c>
      <c r="D1495" s="8" t="s">
        <v>3606</v>
      </c>
      <c r="E1495" s="8" t="s">
        <v>3607</v>
      </c>
      <c r="F1495" s="8" t="s">
        <v>16</v>
      </c>
      <c r="G1495" s="8" t="s">
        <v>310</v>
      </c>
      <c r="H1495" s="8"/>
      <c r="I1495" s="9" t="n">
        <v>39234</v>
      </c>
      <c r="J1495" s="8" t="s">
        <v>19</v>
      </c>
      <c r="K1495" s="8"/>
    </row>
    <row r="1496" customFormat="false" ht="12.8" hidden="false" customHeight="false" outlineLevel="0" collapsed="false">
      <c r="A1496" s="8" t="str">
        <f aca="false">HYPERLINK("https://www.fabsurplus.com/sdi_catalog/salesItemDetails.do?id=97643")</f>
        <v>https://www.fabsurplus.com/sdi_catalog/salesItemDetails.do?id=97643</v>
      </c>
      <c r="B1496" s="8" t="s">
        <v>3608</v>
      </c>
      <c r="C1496" s="8" t="s">
        <v>3464</v>
      </c>
      <c r="D1496" s="8" t="s">
        <v>3609</v>
      </c>
      <c r="E1496" s="8" t="s">
        <v>3602</v>
      </c>
      <c r="F1496" s="8" t="s">
        <v>16</v>
      </c>
      <c r="G1496" s="8" t="s">
        <v>310</v>
      </c>
      <c r="H1496" s="8"/>
      <c r="I1496" s="8"/>
      <c r="J1496" s="8" t="s">
        <v>19</v>
      </c>
      <c r="K1496" s="8"/>
    </row>
    <row r="1497" customFormat="false" ht="12.8" hidden="false" customHeight="false" outlineLevel="0" collapsed="false">
      <c r="A1497" s="6" t="str">
        <f aca="false">HYPERLINK("https://www.fabsurplus.com/sdi_catalog/salesItemDetails.do?id=97642")</f>
        <v>https://www.fabsurplus.com/sdi_catalog/salesItemDetails.do?id=97642</v>
      </c>
      <c r="B1497" s="6" t="s">
        <v>3610</v>
      </c>
      <c r="C1497" s="6" t="s">
        <v>3464</v>
      </c>
      <c r="D1497" s="6" t="s">
        <v>3609</v>
      </c>
      <c r="E1497" s="6" t="s">
        <v>3602</v>
      </c>
      <c r="F1497" s="6" t="s">
        <v>16</v>
      </c>
      <c r="G1497" s="6" t="s">
        <v>310</v>
      </c>
      <c r="H1497" s="6"/>
      <c r="I1497" s="6"/>
      <c r="J1497" s="6" t="s">
        <v>19</v>
      </c>
      <c r="K1497" s="6"/>
    </row>
    <row r="1498" customFormat="false" ht="12.8" hidden="false" customHeight="false" outlineLevel="0" collapsed="false">
      <c r="A1498" s="6" t="str">
        <f aca="false">HYPERLINK("https://www.fabsurplus.com/sdi_catalog/salesItemDetails.do?id=98915")</f>
        <v>https://www.fabsurplus.com/sdi_catalog/salesItemDetails.do?id=98915</v>
      </c>
      <c r="B1498" s="6" t="s">
        <v>3611</v>
      </c>
      <c r="C1498" s="6" t="s">
        <v>3464</v>
      </c>
      <c r="D1498" s="6" t="s">
        <v>3612</v>
      </c>
      <c r="E1498" s="6" t="s">
        <v>3564</v>
      </c>
      <c r="F1498" s="6" t="s">
        <v>16</v>
      </c>
      <c r="G1498" s="6"/>
      <c r="H1498" s="6"/>
      <c r="I1498" s="6"/>
      <c r="J1498" s="6" t="s">
        <v>19</v>
      </c>
      <c r="K1498" s="6"/>
    </row>
    <row r="1499" customFormat="false" ht="12.8" hidden="false" customHeight="false" outlineLevel="0" collapsed="false">
      <c r="A1499" s="8" t="str">
        <f aca="false">HYPERLINK("https://www.fabsurplus.com/sdi_catalog/salesItemDetails.do?id=99178")</f>
        <v>https://www.fabsurplus.com/sdi_catalog/salesItemDetails.do?id=99178</v>
      </c>
      <c r="B1499" s="8" t="s">
        <v>3613</v>
      </c>
      <c r="C1499" s="8" t="s">
        <v>3464</v>
      </c>
      <c r="D1499" s="8" t="s">
        <v>3614</v>
      </c>
      <c r="E1499" s="8" t="s">
        <v>3602</v>
      </c>
      <c r="F1499" s="8" t="s">
        <v>16</v>
      </c>
      <c r="G1499" s="8" t="s">
        <v>686</v>
      </c>
      <c r="H1499" s="8"/>
      <c r="I1499" s="9" t="n">
        <v>41699</v>
      </c>
      <c r="J1499" s="8" t="s">
        <v>19</v>
      </c>
      <c r="K1499" s="8"/>
    </row>
    <row r="1500" customFormat="false" ht="12.8" hidden="false" customHeight="false" outlineLevel="0" collapsed="false">
      <c r="A1500" s="8" t="str">
        <f aca="false">HYPERLINK("https://www.fabsurplus.com/sdi_catalog/salesItemDetails.do?id=98056")</f>
        <v>https://www.fabsurplus.com/sdi_catalog/salesItemDetails.do?id=98056</v>
      </c>
      <c r="B1500" s="8" t="s">
        <v>3615</v>
      </c>
      <c r="C1500" s="8" t="s">
        <v>3464</v>
      </c>
      <c r="D1500" s="8" t="s">
        <v>3616</v>
      </c>
      <c r="E1500" s="8" t="s">
        <v>3617</v>
      </c>
      <c r="F1500" s="8" t="s">
        <v>16</v>
      </c>
      <c r="G1500" s="8" t="s">
        <v>310</v>
      </c>
      <c r="H1500" s="8"/>
      <c r="I1500" s="8"/>
      <c r="J1500" s="8" t="s">
        <v>19</v>
      </c>
      <c r="K1500" s="8"/>
    </row>
    <row r="1501" customFormat="false" ht="12.8" hidden="false" customHeight="false" outlineLevel="0" collapsed="false">
      <c r="A1501" s="8" t="str">
        <f aca="false">HYPERLINK("https://www.fabsurplus.com/sdi_catalog/salesItemDetails.do?id=99418")</f>
        <v>https://www.fabsurplus.com/sdi_catalog/salesItemDetails.do?id=99418</v>
      </c>
      <c r="B1501" s="8" t="s">
        <v>3618</v>
      </c>
      <c r="C1501" s="8" t="s">
        <v>3464</v>
      </c>
      <c r="D1501" s="8" t="s">
        <v>3619</v>
      </c>
      <c r="E1501" s="8" t="s">
        <v>3620</v>
      </c>
      <c r="F1501" s="8" t="s">
        <v>16</v>
      </c>
      <c r="G1501" s="8" t="s">
        <v>3621</v>
      </c>
      <c r="H1501" s="8" t="s">
        <v>311</v>
      </c>
      <c r="I1501" s="9" t="n">
        <v>35217</v>
      </c>
      <c r="J1501" s="8" t="s">
        <v>81</v>
      </c>
      <c r="K1501" s="8" t="s">
        <v>20</v>
      </c>
    </row>
    <row r="1502" customFormat="false" ht="12.8" hidden="false" customHeight="false" outlineLevel="0" collapsed="false">
      <c r="A1502" s="6" t="str">
        <f aca="false">HYPERLINK("https://www.fabsurplus.com/sdi_catalog/salesItemDetails.do?id=99990")</f>
        <v>https://www.fabsurplus.com/sdi_catalog/salesItemDetails.do?id=99990</v>
      </c>
      <c r="B1502" s="6" t="s">
        <v>3622</v>
      </c>
      <c r="C1502" s="6" t="s">
        <v>3464</v>
      </c>
      <c r="D1502" s="6" t="s">
        <v>3623</v>
      </c>
      <c r="E1502" s="6" t="s">
        <v>3624</v>
      </c>
      <c r="F1502" s="6" t="s">
        <v>16</v>
      </c>
      <c r="G1502" s="6" t="s">
        <v>697</v>
      </c>
      <c r="H1502" s="6"/>
      <c r="I1502" s="7" t="n">
        <v>35217</v>
      </c>
      <c r="J1502" s="6" t="s">
        <v>19</v>
      </c>
      <c r="K1502" s="6"/>
    </row>
    <row r="1503" customFormat="false" ht="12.8" hidden="false" customHeight="false" outlineLevel="0" collapsed="false">
      <c r="A1503" s="8" t="str">
        <f aca="false">HYPERLINK("https://www.fabsurplus.com/sdi_catalog/salesItemDetails.do?id=99989")</f>
        <v>https://www.fabsurplus.com/sdi_catalog/salesItemDetails.do?id=99989</v>
      </c>
      <c r="B1503" s="8" t="s">
        <v>3625</v>
      </c>
      <c r="C1503" s="8" t="s">
        <v>3464</v>
      </c>
      <c r="D1503" s="8" t="s">
        <v>3623</v>
      </c>
      <c r="E1503" s="8" t="s">
        <v>3624</v>
      </c>
      <c r="F1503" s="8" t="s">
        <v>16</v>
      </c>
      <c r="G1503" s="8" t="s">
        <v>697</v>
      </c>
      <c r="H1503" s="8"/>
      <c r="I1503" s="9" t="n">
        <v>35217</v>
      </c>
      <c r="J1503" s="8" t="s">
        <v>19</v>
      </c>
      <c r="K1503" s="8"/>
    </row>
    <row r="1504" customFormat="false" ht="12.8" hidden="false" customHeight="false" outlineLevel="0" collapsed="false">
      <c r="A1504" s="8" t="str">
        <f aca="false">HYPERLINK("https://www.fabsurplus.com/sdi_catalog/salesItemDetails.do?id=98403")</f>
        <v>https://www.fabsurplus.com/sdi_catalog/salesItemDetails.do?id=98403</v>
      </c>
      <c r="B1504" s="8" t="s">
        <v>3626</v>
      </c>
      <c r="C1504" s="8" t="s">
        <v>3464</v>
      </c>
      <c r="D1504" s="8" t="s">
        <v>3627</v>
      </c>
      <c r="E1504" s="8" t="s">
        <v>3509</v>
      </c>
      <c r="F1504" s="8" t="s">
        <v>16</v>
      </c>
      <c r="G1504" s="8" t="s">
        <v>372</v>
      </c>
      <c r="H1504" s="8"/>
      <c r="I1504" s="8"/>
      <c r="J1504" s="8" t="s">
        <v>19</v>
      </c>
      <c r="K1504" s="8"/>
    </row>
    <row r="1505" customFormat="false" ht="12.8" hidden="false" customHeight="false" outlineLevel="0" collapsed="false">
      <c r="A1505" s="8" t="str">
        <f aca="false">HYPERLINK("https://www.fabsurplus.com/sdi_catalog/salesItemDetails.do?id=99861")</f>
        <v>https://www.fabsurplus.com/sdi_catalog/salesItemDetails.do?id=99861</v>
      </c>
      <c r="B1505" s="8" t="s">
        <v>3628</v>
      </c>
      <c r="C1505" s="8" t="s">
        <v>3464</v>
      </c>
      <c r="D1505" s="8" t="s">
        <v>3627</v>
      </c>
      <c r="E1505" s="8" t="s">
        <v>3624</v>
      </c>
      <c r="F1505" s="8" t="s">
        <v>611</v>
      </c>
      <c r="G1505" s="8" t="s">
        <v>2208</v>
      </c>
      <c r="H1505" s="8"/>
      <c r="I1505" s="9" t="n">
        <v>34335</v>
      </c>
      <c r="J1505" s="8" t="s">
        <v>81</v>
      </c>
      <c r="K1505" s="8"/>
    </row>
    <row r="1506" customFormat="false" ht="12.8" hidden="false" customHeight="false" outlineLevel="0" collapsed="false">
      <c r="A1506" s="6" t="str">
        <f aca="false">HYPERLINK("https://www.fabsurplus.com/sdi_catalog/salesItemDetails.do?id=98133")</f>
        <v>https://www.fabsurplus.com/sdi_catalog/salesItemDetails.do?id=98133</v>
      </c>
      <c r="B1506" s="6" t="s">
        <v>3629</v>
      </c>
      <c r="C1506" s="6" t="s">
        <v>3464</v>
      </c>
      <c r="D1506" s="6" t="s">
        <v>3630</v>
      </c>
      <c r="E1506" s="6" t="s">
        <v>3631</v>
      </c>
      <c r="F1506" s="6" t="s">
        <v>16</v>
      </c>
      <c r="G1506" s="6" t="s">
        <v>3632</v>
      </c>
      <c r="H1506" s="6"/>
      <c r="I1506" s="7" t="n">
        <v>38322</v>
      </c>
      <c r="J1506" s="6" t="s">
        <v>19</v>
      </c>
      <c r="K1506" s="6"/>
    </row>
    <row r="1507" customFormat="false" ht="12.8" hidden="false" customHeight="false" outlineLevel="0" collapsed="false">
      <c r="A1507" s="8" t="str">
        <f aca="false">HYPERLINK("https://www.fabsurplus.com/sdi_catalog/salesItemDetails.do?id=98550")</f>
        <v>https://www.fabsurplus.com/sdi_catalog/salesItemDetails.do?id=98550</v>
      </c>
      <c r="B1507" s="8" t="s">
        <v>3633</v>
      </c>
      <c r="C1507" s="8" t="s">
        <v>3464</v>
      </c>
      <c r="D1507" s="8" t="s">
        <v>3634</v>
      </c>
      <c r="E1507" s="8" t="s">
        <v>3635</v>
      </c>
      <c r="F1507" s="8" t="s">
        <v>16</v>
      </c>
      <c r="G1507" s="8" t="s">
        <v>310</v>
      </c>
      <c r="H1507" s="8" t="s">
        <v>311</v>
      </c>
      <c r="I1507" s="8"/>
      <c r="J1507" s="8" t="s">
        <v>81</v>
      </c>
      <c r="K1507" s="8"/>
    </row>
    <row r="1508" customFormat="false" ht="12.8" hidden="false" customHeight="false" outlineLevel="0" collapsed="false">
      <c r="A1508" s="6" t="str">
        <f aca="false">HYPERLINK("https://www.fabsurplus.com/sdi_catalog/salesItemDetails.do?id=97450")</f>
        <v>https://www.fabsurplus.com/sdi_catalog/salesItemDetails.do?id=97450</v>
      </c>
      <c r="B1508" s="6" t="s">
        <v>3636</v>
      </c>
      <c r="C1508" s="6" t="s">
        <v>3464</v>
      </c>
      <c r="D1508" s="6" t="s">
        <v>3637</v>
      </c>
      <c r="E1508" s="6" t="s">
        <v>3638</v>
      </c>
      <c r="F1508" s="6" t="s">
        <v>16</v>
      </c>
      <c r="G1508" s="6" t="s">
        <v>310</v>
      </c>
      <c r="H1508" s="6" t="s">
        <v>33</v>
      </c>
      <c r="I1508" s="7" t="n">
        <v>38231</v>
      </c>
      <c r="J1508" s="6" t="s">
        <v>19</v>
      </c>
      <c r="K1508" s="6" t="s">
        <v>20</v>
      </c>
    </row>
    <row r="1509" customFormat="false" ht="12.8" hidden="false" customHeight="false" outlineLevel="0" collapsed="false">
      <c r="A1509" s="6" t="str">
        <f aca="false">HYPERLINK("https://www.fabsurplus.com/sdi_catalog/salesItemDetails.do?id=98914")</f>
        <v>https://www.fabsurplus.com/sdi_catalog/salesItemDetails.do?id=98914</v>
      </c>
      <c r="B1509" s="6" t="s">
        <v>3639</v>
      </c>
      <c r="C1509" s="6" t="s">
        <v>3464</v>
      </c>
      <c r="D1509" s="6" t="s">
        <v>3640</v>
      </c>
      <c r="E1509" s="6" t="s">
        <v>3641</v>
      </c>
      <c r="F1509" s="6" t="s">
        <v>16</v>
      </c>
      <c r="G1509" s="6"/>
      <c r="H1509" s="6"/>
      <c r="I1509" s="6"/>
      <c r="J1509" s="6" t="s">
        <v>19</v>
      </c>
      <c r="K1509" s="6"/>
    </row>
    <row r="1510" customFormat="false" ht="12.8" hidden="false" customHeight="false" outlineLevel="0" collapsed="false">
      <c r="A1510" s="8" t="str">
        <f aca="false">HYPERLINK("https://www.fabsurplus.com/sdi_catalog/salesItemDetails.do?id=97644")</f>
        <v>https://www.fabsurplus.com/sdi_catalog/salesItemDetails.do?id=97644</v>
      </c>
      <c r="B1510" s="8" t="s">
        <v>3642</v>
      </c>
      <c r="C1510" s="8" t="s">
        <v>3464</v>
      </c>
      <c r="D1510" s="8" t="s">
        <v>3643</v>
      </c>
      <c r="E1510" s="8" t="s">
        <v>3553</v>
      </c>
      <c r="F1510" s="8" t="s">
        <v>16</v>
      </c>
      <c r="G1510" s="8" t="s">
        <v>310</v>
      </c>
      <c r="H1510" s="8"/>
      <c r="I1510" s="8"/>
      <c r="J1510" s="8" t="s">
        <v>19</v>
      </c>
      <c r="K1510" s="8"/>
    </row>
    <row r="1511" customFormat="false" ht="12.8" hidden="false" customHeight="false" outlineLevel="0" collapsed="false">
      <c r="A1511" s="6" t="str">
        <f aca="false">HYPERLINK("https://www.fabsurplus.com/sdi_catalog/salesItemDetails.do?id=98916")</f>
        <v>https://www.fabsurplus.com/sdi_catalog/salesItemDetails.do?id=98916</v>
      </c>
      <c r="B1511" s="6" t="s">
        <v>3644</v>
      </c>
      <c r="C1511" s="6" t="s">
        <v>3464</v>
      </c>
      <c r="D1511" s="6" t="s">
        <v>3645</v>
      </c>
      <c r="E1511" s="6" t="s">
        <v>3514</v>
      </c>
      <c r="F1511" s="6" t="s">
        <v>16</v>
      </c>
      <c r="G1511" s="6"/>
      <c r="H1511" s="6"/>
      <c r="I1511" s="6"/>
      <c r="J1511" s="6" t="s">
        <v>19</v>
      </c>
      <c r="K1511" s="6"/>
    </row>
    <row r="1512" customFormat="false" ht="12.8" hidden="false" customHeight="false" outlineLevel="0" collapsed="false">
      <c r="A1512" s="6" t="str">
        <f aca="false">HYPERLINK("https://www.fabsurplus.com/sdi_catalog/salesItemDetails.do?id=98858")</f>
        <v>https://www.fabsurplus.com/sdi_catalog/salesItemDetails.do?id=98858</v>
      </c>
      <c r="B1512" s="6" t="s">
        <v>3646</v>
      </c>
      <c r="C1512" s="6" t="s">
        <v>3464</v>
      </c>
      <c r="D1512" s="6" t="s">
        <v>3647</v>
      </c>
      <c r="E1512" s="6" t="s">
        <v>3648</v>
      </c>
      <c r="F1512" s="6" t="s">
        <v>16</v>
      </c>
      <c r="G1512" s="6"/>
      <c r="H1512" s="6" t="s">
        <v>18</v>
      </c>
      <c r="I1512" s="6"/>
      <c r="J1512" s="6" t="s">
        <v>19</v>
      </c>
      <c r="K1512" s="6"/>
    </row>
    <row r="1513" customFormat="false" ht="12.8" hidden="false" customHeight="false" outlineLevel="0" collapsed="false">
      <c r="A1513" s="6" t="str">
        <f aca="false">HYPERLINK("https://www.fabsurplus.com/sdi_catalog/salesItemDetails.do?id=96998")</f>
        <v>https://www.fabsurplus.com/sdi_catalog/salesItemDetails.do?id=96998</v>
      </c>
      <c r="B1513" s="6" t="s">
        <v>3649</v>
      </c>
      <c r="C1513" s="6" t="s">
        <v>3464</v>
      </c>
      <c r="D1513" s="6" t="s">
        <v>3650</v>
      </c>
      <c r="E1513" s="6" t="s">
        <v>3651</v>
      </c>
      <c r="F1513" s="6" t="s">
        <v>16</v>
      </c>
      <c r="G1513" s="6" t="s">
        <v>32</v>
      </c>
      <c r="H1513" s="6" t="s">
        <v>18</v>
      </c>
      <c r="I1513" s="7" t="n">
        <v>35582</v>
      </c>
      <c r="J1513" s="6" t="s">
        <v>19</v>
      </c>
      <c r="K1513" s="6" t="s">
        <v>20</v>
      </c>
    </row>
    <row r="1514" customFormat="false" ht="12.8" hidden="false" customHeight="false" outlineLevel="0" collapsed="false">
      <c r="A1514" s="8" t="str">
        <f aca="false">HYPERLINK("https://www.fabsurplus.com/sdi_catalog/salesItemDetails.do?id=98917")</f>
        <v>https://www.fabsurplus.com/sdi_catalog/salesItemDetails.do?id=98917</v>
      </c>
      <c r="B1514" s="8" t="s">
        <v>3652</v>
      </c>
      <c r="C1514" s="8" t="s">
        <v>3464</v>
      </c>
      <c r="D1514" s="8" t="s">
        <v>3653</v>
      </c>
      <c r="E1514" s="8" t="s">
        <v>3654</v>
      </c>
      <c r="F1514" s="8" t="s">
        <v>16</v>
      </c>
      <c r="G1514" s="8"/>
      <c r="H1514" s="8"/>
      <c r="I1514" s="8"/>
      <c r="J1514" s="8" t="s">
        <v>19</v>
      </c>
      <c r="K1514" s="8"/>
    </row>
    <row r="1515" customFormat="false" ht="12.8" hidden="false" customHeight="false" outlineLevel="0" collapsed="false">
      <c r="A1515" s="8" t="str">
        <f aca="false">HYPERLINK("https://www.fabsurplus.com/sdi_catalog/salesItemDetails.do?id=98552")</f>
        <v>https://www.fabsurplus.com/sdi_catalog/salesItemDetails.do?id=98552</v>
      </c>
      <c r="B1515" s="8" t="s">
        <v>3655</v>
      </c>
      <c r="C1515" s="8" t="s">
        <v>3464</v>
      </c>
      <c r="D1515" s="8" t="s">
        <v>3656</v>
      </c>
      <c r="E1515" s="8" t="s">
        <v>3657</v>
      </c>
      <c r="F1515" s="8" t="s">
        <v>16</v>
      </c>
      <c r="G1515" s="8" t="s">
        <v>2117</v>
      </c>
      <c r="H1515" s="8" t="s">
        <v>311</v>
      </c>
      <c r="I1515" s="8"/>
      <c r="J1515" s="8" t="s">
        <v>81</v>
      </c>
      <c r="K1515" s="8"/>
    </row>
    <row r="1516" customFormat="false" ht="12.8" hidden="false" customHeight="false" outlineLevel="0" collapsed="false">
      <c r="A1516" s="8" t="str">
        <f aca="false">HYPERLINK("https://www.fabsurplus.com/sdi_catalog/salesItemDetails.do?id=98553")</f>
        <v>https://www.fabsurplus.com/sdi_catalog/salesItemDetails.do?id=98553</v>
      </c>
      <c r="B1516" s="8" t="s">
        <v>3658</v>
      </c>
      <c r="C1516" s="8" t="s">
        <v>3464</v>
      </c>
      <c r="D1516" s="8" t="s">
        <v>3659</v>
      </c>
      <c r="E1516" s="8" t="s">
        <v>3657</v>
      </c>
      <c r="F1516" s="8" t="s">
        <v>16</v>
      </c>
      <c r="G1516" s="8" t="s">
        <v>2117</v>
      </c>
      <c r="H1516" s="8" t="s">
        <v>311</v>
      </c>
      <c r="I1516" s="8"/>
      <c r="J1516" s="8" t="s">
        <v>81</v>
      </c>
      <c r="K1516" s="8"/>
    </row>
    <row r="1517" customFormat="false" ht="12.8" hidden="false" customHeight="false" outlineLevel="0" collapsed="false">
      <c r="A1517" s="8" t="str">
        <f aca="false">HYPERLINK("https://www.fabsurplus.com/sdi_catalog/salesItemDetails.do?id=98404")</f>
        <v>https://www.fabsurplus.com/sdi_catalog/salesItemDetails.do?id=98404</v>
      </c>
      <c r="B1517" s="8" t="s">
        <v>3660</v>
      </c>
      <c r="C1517" s="8" t="s">
        <v>3464</v>
      </c>
      <c r="D1517" s="8" t="s">
        <v>3661</v>
      </c>
      <c r="E1517" s="8" t="s">
        <v>3662</v>
      </c>
      <c r="F1517" s="8" t="s">
        <v>16</v>
      </c>
      <c r="G1517" s="8" t="s">
        <v>372</v>
      </c>
      <c r="H1517" s="8"/>
      <c r="I1517" s="8"/>
      <c r="J1517" s="8" t="s">
        <v>19</v>
      </c>
      <c r="K1517" s="8"/>
    </row>
    <row r="1518" customFormat="false" ht="12.8" hidden="false" customHeight="false" outlineLevel="0" collapsed="false">
      <c r="A1518" s="8" t="str">
        <f aca="false">HYPERLINK("https://www.fabsurplus.com/sdi_catalog/salesItemDetails.do?id=98134")</f>
        <v>https://www.fabsurplus.com/sdi_catalog/salesItemDetails.do?id=98134</v>
      </c>
      <c r="B1518" s="8" t="s">
        <v>3663</v>
      </c>
      <c r="C1518" s="8" t="s">
        <v>3464</v>
      </c>
      <c r="D1518" s="8" t="s">
        <v>3664</v>
      </c>
      <c r="E1518" s="8" t="s">
        <v>3665</v>
      </c>
      <c r="F1518" s="8" t="s">
        <v>16</v>
      </c>
      <c r="G1518" s="8" t="s">
        <v>310</v>
      </c>
      <c r="H1518" s="8"/>
      <c r="I1518" s="9" t="n">
        <v>40330</v>
      </c>
      <c r="J1518" s="8" t="s">
        <v>19</v>
      </c>
      <c r="K1518" s="8"/>
    </row>
    <row r="1519" customFormat="false" ht="12.8" hidden="false" customHeight="false" outlineLevel="0" collapsed="false">
      <c r="A1519" s="6" t="str">
        <f aca="false">HYPERLINK("https://www.fabsurplus.com/sdi_catalog/salesItemDetails.do?id=98918")</f>
        <v>https://www.fabsurplus.com/sdi_catalog/salesItemDetails.do?id=98918</v>
      </c>
      <c r="B1519" s="6" t="s">
        <v>3666</v>
      </c>
      <c r="C1519" s="6" t="s">
        <v>3464</v>
      </c>
      <c r="D1519" s="6" t="s">
        <v>3667</v>
      </c>
      <c r="E1519" s="6" t="s">
        <v>3668</v>
      </c>
      <c r="F1519" s="6" t="s">
        <v>16</v>
      </c>
      <c r="G1519" s="6"/>
      <c r="H1519" s="6"/>
      <c r="I1519" s="6"/>
      <c r="J1519" s="6" t="s">
        <v>19</v>
      </c>
      <c r="K1519" s="6"/>
    </row>
    <row r="1520" customFormat="false" ht="12.8" hidden="false" customHeight="false" outlineLevel="0" collapsed="false">
      <c r="A1520" s="8" t="str">
        <f aca="false">HYPERLINK("https://www.fabsurplus.com/sdi_catalog/salesItemDetails.do?id=97020")</f>
        <v>https://www.fabsurplus.com/sdi_catalog/salesItemDetails.do?id=97020</v>
      </c>
      <c r="B1520" s="8" t="s">
        <v>3669</v>
      </c>
      <c r="C1520" s="8" t="s">
        <v>3464</v>
      </c>
      <c r="D1520" s="8" t="s">
        <v>3670</v>
      </c>
      <c r="E1520" s="8" t="s">
        <v>3671</v>
      </c>
      <c r="F1520" s="8" t="s">
        <v>16</v>
      </c>
      <c r="G1520" s="8" t="s">
        <v>310</v>
      </c>
      <c r="H1520" s="8"/>
      <c r="I1520" s="9" t="n">
        <v>39234</v>
      </c>
      <c r="J1520" s="8" t="s">
        <v>19</v>
      </c>
      <c r="K1520" s="8"/>
    </row>
    <row r="1521" customFormat="false" ht="12.8" hidden="false" customHeight="false" outlineLevel="0" collapsed="false">
      <c r="A1521" s="8" t="str">
        <f aca="false">HYPERLINK("https://www.fabsurplus.com/sdi_catalog/salesItemDetails.do?id=98061")</f>
        <v>https://www.fabsurplus.com/sdi_catalog/salesItemDetails.do?id=98061</v>
      </c>
      <c r="B1521" s="8" t="s">
        <v>3672</v>
      </c>
      <c r="C1521" s="8" t="s">
        <v>3673</v>
      </c>
      <c r="D1521" s="8" t="s">
        <v>3502</v>
      </c>
      <c r="E1521" s="8" t="s">
        <v>3674</v>
      </c>
      <c r="F1521" s="8" t="s">
        <v>16</v>
      </c>
      <c r="G1521" s="8" t="s">
        <v>2200</v>
      </c>
      <c r="H1521" s="8" t="s">
        <v>33</v>
      </c>
      <c r="I1521" s="8"/>
      <c r="J1521" s="8" t="s">
        <v>81</v>
      </c>
      <c r="K1521" s="8" t="s">
        <v>20</v>
      </c>
    </row>
    <row r="1522" customFormat="false" ht="12.8" hidden="false" customHeight="false" outlineLevel="0" collapsed="false">
      <c r="A1522" s="8" t="str">
        <f aca="false">HYPERLINK("https://www.fabsurplus.com/sdi_catalog/salesItemDetails.do?id=98031")</f>
        <v>https://www.fabsurplus.com/sdi_catalog/salesItemDetails.do?id=98031</v>
      </c>
      <c r="B1522" s="8" t="s">
        <v>3675</v>
      </c>
      <c r="C1522" s="8" t="s">
        <v>3676</v>
      </c>
      <c r="D1522" s="8" t="s">
        <v>3677</v>
      </c>
      <c r="E1522" s="8" t="s">
        <v>3678</v>
      </c>
      <c r="F1522" s="8" t="s">
        <v>16</v>
      </c>
      <c r="G1522" s="8" t="s">
        <v>310</v>
      </c>
      <c r="H1522" s="8"/>
      <c r="I1522" s="8"/>
      <c r="J1522" s="8" t="s">
        <v>19</v>
      </c>
      <c r="K1522" s="8"/>
    </row>
    <row r="1523" customFormat="false" ht="12.8" hidden="false" customHeight="false" outlineLevel="0" collapsed="false">
      <c r="A1523" s="8" t="str">
        <f aca="false">HYPERLINK("https://www.fabsurplus.com/sdi_catalog/salesItemDetails.do?id=98032")</f>
        <v>https://www.fabsurplus.com/sdi_catalog/salesItemDetails.do?id=98032</v>
      </c>
      <c r="B1523" s="8" t="s">
        <v>3679</v>
      </c>
      <c r="C1523" s="8" t="s">
        <v>3676</v>
      </c>
      <c r="D1523" s="8" t="s">
        <v>3680</v>
      </c>
      <c r="E1523" s="8" t="s">
        <v>3681</v>
      </c>
      <c r="F1523" s="8" t="s">
        <v>16</v>
      </c>
      <c r="G1523" s="8" t="s">
        <v>310</v>
      </c>
      <c r="H1523" s="8"/>
      <c r="I1523" s="9" t="n">
        <v>38139</v>
      </c>
      <c r="J1523" s="8" t="s">
        <v>19</v>
      </c>
      <c r="K1523" s="8"/>
    </row>
    <row r="1524" customFormat="false" ht="12.8" hidden="false" customHeight="false" outlineLevel="0" collapsed="false">
      <c r="A1524" s="6" t="str">
        <f aca="false">HYPERLINK("https://www.fabsurplus.com/sdi_catalog/salesItemDetails.do?id=98033")</f>
        <v>https://www.fabsurplus.com/sdi_catalog/salesItemDetails.do?id=98033</v>
      </c>
      <c r="B1524" s="6" t="s">
        <v>3682</v>
      </c>
      <c r="C1524" s="6" t="s">
        <v>3676</v>
      </c>
      <c r="D1524" s="6" t="s">
        <v>3683</v>
      </c>
      <c r="E1524" s="6" t="s">
        <v>3684</v>
      </c>
      <c r="F1524" s="6" t="s">
        <v>16</v>
      </c>
      <c r="G1524" s="6" t="s">
        <v>32</v>
      </c>
      <c r="H1524" s="6"/>
      <c r="I1524" s="7" t="n">
        <v>36678</v>
      </c>
      <c r="J1524" s="6" t="s">
        <v>19</v>
      </c>
      <c r="K1524" s="6"/>
    </row>
    <row r="1525" customFormat="false" ht="12.8" hidden="false" customHeight="false" outlineLevel="0" collapsed="false">
      <c r="A1525" s="8" t="str">
        <f aca="false">HYPERLINK("https://www.fabsurplus.com/sdi_catalog/salesItemDetails.do?id=98034")</f>
        <v>https://www.fabsurplus.com/sdi_catalog/salesItemDetails.do?id=98034</v>
      </c>
      <c r="B1525" s="8" t="s">
        <v>3685</v>
      </c>
      <c r="C1525" s="8" t="s">
        <v>3676</v>
      </c>
      <c r="D1525" s="8" t="s">
        <v>3686</v>
      </c>
      <c r="E1525" s="8" t="s">
        <v>3687</v>
      </c>
      <c r="F1525" s="8" t="s">
        <v>16</v>
      </c>
      <c r="G1525" s="8" t="s">
        <v>310</v>
      </c>
      <c r="H1525" s="8"/>
      <c r="I1525" s="9" t="n">
        <v>38504</v>
      </c>
      <c r="J1525" s="8" t="s">
        <v>19</v>
      </c>
      <c r="K1525" s="8"/>
    </row>
    <row r="1526" customFormat="false" ht="12.8" hidden="false" customHeight="false" outlineLevel="0" collapsed="false">
      <c r="A1526" s="8" t="str">
        <f aca="false">HYPERLINK("https://www.fabsurplus.com/sdi_catalog/salesItemDetails.do?id=99845")</f>
        <v>https://www.fabsurplus.com/sdi_catalog/salesItemDetails.do?id=99845</v>
      </c>
      <c r="B1526" s="8" t="s">
        <v>3688</v>
      </c>
      <c r="C1526" s="8" t="s">
        <v>3689</v>
      </c>
      <c r="D1526" s="8" t="s">
        <v>3690</v>
      </c>
      <c r="E1526" s="8" t="s">
        <v>3691</v>
      </c>
      <c r="F1526" s="8" t="s">
        <v>16</v>
      </c>
      <c r="G1526" s="8" t="s">
        <v>17</v>
      </c>
      <c r="H1526" s="8" t="s">
        <v>33</v>
      </c>
      <c r="I1526" s="8"/>
      <c r="J1526" s="8" t="s">
        <v>19</v>
      </c>
      <c r="K1526" s="8" t="s">
        <v>20</v>
      </c>
    </row>
    <row r="1527" customFormat="false" ht="12.8" hidden="false" customHeight="false" outlineLevel="0" collapsed="false">
      <c r="A1527" s="6" t="str">
        <f aca="false">HYPERLINK("https://www.fabsurplus.com/sdi_catalog/salesItemDetails.do?id=96997")</f>
        <v>https://www.fabsurplus.com/sdi_catalog/salesItemDetails.do?id=96997</v>
      </c>
      <c r="B1527" s="6" t="s">
        <v>3692</v>
      </c>
      <c r="C1527" s="6" t="s">
        <v>3689</v>
      </c>
      <c r="D1527" s="6" t="s">
        <v>3693</v>
      </c>
      <c r="E1527" s="6" t="s">
        <v>3694</v>
      </c>
      <c r="F1527" s="6" t="s">
        <v>16</v>
      </c>
      <c r="G1527" s="6" t="s">
        <v>32</v>
      </c>
      <c r="H1527" s="6" t="s">
        <v>18</v>
      </c>
      <c r="I1527" s="7" t="n">
        <v>35582</v>
      </c>
      <c r="J1527" s="6" t="s">
        <v>19</v>
      </c>
      <c r="K1527" s="6" t="s">
        <v>20</v>
      </c>
    </row>
    <row r="1528" customFormat="false" ht="12.8" hidden="false" customHeight="false" outlineLevel="0" collapsed="false">
      <c r="A1528" s="8" t="str">
        <f aca="false">HYPERLINK("https://www.fabsurplus.com/sdi_catalog/salesItemDetails.do?id=97201")</f>
        <v>https://www.fabsurplus.com/sdi_catalog/salesItemDetails.do?id=97201</v>
      </c>
      <c r="B1528" s="8" t="s">
        <v>3695</v>
      </c>
      <c r="C1528" s="8" t="s">
        <v>3696</v>
      </c>
      <c r="D1528" s="8" t="s">
        <v>3697</v>
      </c>
      <c r="E1528" s="8" t="s">
        <v>3698</v>
      </c>
      <c r="F1528" s="8" t="s">
        <v>16</v>
      </c>
      <c r="G1528" s="8" t="s">
        <v>434</v>
      </c>
      <c r="H1528" s="8"/>
      <c r="I1528" s="9" t="n">
        <v>41791</v>
      </c>
      <c r="J1528" s="8" t="s">
        <v>19</v>
      </c>
      <c r="K1528" s="8"/>
    </row>
    <row r="1529" customFormat="false" ht="12.8" hidden="false" customHeight="false" outlineLevel="0" collapsed="false">
      <c r="A1529" s="6" t="str">
        <f aca="false">HYPERLINK("https://www.fabsurplus.com/sdi_catalog/salesItemDetails.do?id=97202")</f>
        <v>https://www.fabsurplus.com/sdi_catalog/salesItemDetails.do?id=97202</v>
      </c>
      <c r="B1529" s="6" t="s">
        <v>3699</v>
      </c>
      <c r="C1529" s="6" t="s">
        <v>3696</v>
      </c>
      <c r="D1529" s="6" t="s">
        <v>3700</v>
      </c>
      <c r="E1529" s="6" t="s">
        <v>3698</v>
      </c>
      <c r="F1529" s="6" t="s">
        <v>16</v>
      </c>
      <c r="G1529" s="6" t="s">
        <v>434</v>
      </c>
      <c r="H1529" s="6"/>
      <c r="I1529" s="7" t="n">
        <v>41791</v>
      </c>
      <c r="J1529" s="6" t="s">
        <v>19</v>
      </c>
      <c r="K1529" s="6"/>
    </row>
    <row r="1530" customFormat="false" ht="12.8" hidden="false" customHeight="false" outlineLevel="0" collapsed="false">
      <c r="A1530" s="8" t="str">
        <f aca="false">HYPERLINK("https://www.fabsurplus.com/sdi_catalog/salesItemDetails.do?id=97203")</f>
        <v>https://www.fabsurplus.com/sdi_catalog/salesItemDetails.do?id=97203</v>
      </c>
      <c r="B1530" s="8" t="s">
        <v>3701</v>
      </c>
      <c r="C1530" s="8" t="s">
        <v>3696</v>
      </c>
      <c r="D1530" s="8" t="s">
        <v>3702</v>
      </c>
      <c r="E1530" s="8" t="s">
        <v>3698</v>
      </c>
      <c r="F1530" s="8" t="s">
        <v>16</v>
      </c>
      <c r="G1530" s="8" t="s">
        <v>434</v>
      </c>
      <c r="H1530" s="8"/>
      <c r="I1530" s="9" t="n">
        <v>41791</v>
      </c>
      <c r="J1530" s="8" t="s">
        <v>19</v>
      </c>
      <c r="K1530" s="8"/>
    </row>
    <row r="1531" customFormat="false" ht="12.8" hidden="false" customHeight="false" outlineLevel="0" collapsed="false">
      <c r="A1531" s="6" t="str">
        <f aca="false">HYPERLINK("https://www.fabsurplus.com/sdi_catalog/salesItemDetails.do?id=97211")</f>
        <v>https://www.fabsurplus.com/sdi_catalog/salesItemDetails.do?id=97211</v>
      </c>
      <c r="B1531" s="6" t="s">
        <v>3703</v>
      </c>
      <c r="C1531" s="6" t="s">
        <v>3704</v>
      </c>
      <c r="D1531" s="6" t="s">
        <v>3705</v>
      </c>
      <c r="E1531" s="6" t="s">
        <v>2292</v>
      </c>
      <c r="F1531" s="6" t="s">
        <v>781</v>
      </c>
      <c r="G1531" s="6"/>
      <c r="H1531" s="6" t="s">
        <v>18</v>
      </c>
      <c r="I1531" s="6"/>
      <c r="J1531" s="6" t="s">
        <v>19</v>
      </c>
      <c r="K1531" s="6" t="s">
        <v>20</v>
      </c>
    </row>
    <row r="1532" customFormat="false" ht="12.8" hidden="false" customHeight="false" outlineLevel="0" collapsed="false">
      <c r="A1532" s="8" t="str">
        <f aca="false">HYPERLINK("https://www.fabsurplus.com/sdi_catalog/salesItemDetails.do?id=97044")</f>
        <v>https://www.fabsurplus.com/sdi_catalog/salesItemDetails.do?id=97044</v>
      </c>
      <c r="B1532" s="8" t="s">
        <v>3706</v>
      </c>
      <c r="C1532" s="8" t="s">
        <v>3707</v>
      </c>
      <c r="D1532" s="8" t="s">
        <v>3708</v>
      </c>
      <c r="E1532" s="8" t="s">
        <v>3709</v>
      </c>
      <c r="F1532" s="8" t="s">
        <v>16</v>
      </c>
      <c r="G1532" s="8" t="s">
        <v>32</v>
      </c>
      <c r="H1532" s="8" t="s">
        <v>18</v>
      </c>
      <c r="I1532" s="9" t="n">
        <v>37135</v>
      </c>
      <c r="J1532" s="8" t="s">
        <v>19</v>
      </c>
      <c r="K1532" s="8" t="s">
        <v>20</v>
      </c>
    </row>
    <row r="1533" customFormat="false" ht="12.8" hidden="false" customHeight="false" outlineLevel="0" collapsed="false">
      <c r="A1533" s="8" t="str">
        <f aca="false">HYPERLINK("https://www.fabsurplus.com/sdi_catalog/salesItemDetails.do?id=96979")</f>
        <v>https://www.fabsurplus.com/sdi_catalog/salesItemDetails.do?id=96979</v>
      </c>
      <c r="B1533" s="8" t="s">
        <v>3710</v>
      </c>
      <c r="C1533" s="8" t="s">
        <v>3704</v>
      </c>
      <c r="D1533" s="8" t="s">
        <v>3711</v>
      </c>
      <c r="E1533" s="8" t="s">
        <v>2292</v>
      </c>
      <c r="F1533" s="8" t="s">
        <v>211</v>
      </c>
      <c r="G1533" s="8" t="s">
        <v>32</v>
      </c>
      <c r="H1533" s="8"/>
      <c r="I1533" s="8"/>
      <c r="J1533" s="8" t="s">
        <v>81</v>
      </c>
      <c r="K1533" s="8"/>
    </row>
    <row r="1534" customFormat="false" ht="12.8" hidden="false" customHeight="false" outlineLevel="0" collapsed="false">
      <c r="A1534" s="6" t="str">
        <f aca="false">HYPERLINK("https://www.fabsurplus.com/sdi_catalog/salesItemDetails.do?id=98001")</f>
        <v>https://www.fabsurplus.com/sdi_catalog/salesItemDetails.do?id=98001</v>
      </c>
      <c r="B1534" s="6" t="s">
        <v>3712</v>
      </c>
      <c r="C1534" s="6" t="s">
        <v>3704</v>
      </c>
      <c r="D1534" s="6" t="s">
        <v>3713</v>
      </c>
      <c r="E1534" s="6" t="s">
        <v>3714</v>
      </c>
      <c r="F1534" s="6" t="s">
        <v>16</v>
      </c>
      <c r="G1534" s="6" t="s">
        <v>32</v>
      </c>
      <c r="H1534" s="6"/>
      <c r="I1534" s="7" t="n">
        <v>40695</v>
      </c>
      <c r="J1534" s="6" t="s">
        <v>19</v>
      </c>
      <c r="K1534" s="6"/>
    </row>
    <row r="1535" customFormat="false" ht="12.8" hidden="false" customHeight="false" outlineLevel="0" collapsed="false">
      <c r="A1535" s="6" t="str">
        <f aca="false">HYPERLINK("https://www.fabsurplus.com/sdi_catalog/salesItemDetails.do?id=99942")</f>
        <v>https://www.fabsurplus.com/sdi_catalog/salesItemDetails.do?id=99942</v>
      </c>
      <c r="B1535" s="6" t="s">
        <v>3715</v>
      </c>
      <c r="C1535" s="6" t="s">
        <v>3704</v>
      </c>
      <c r="D1535" s="6" t="s">
        <v>3716</v>
      </c>
      <c r="E1535" s="6" t="s">
        <v>3717</v>
      </c>
      <c r="F1535" s="6" t="s">
        <v>16</v>
      </c>
      <c r="G1535" s="6" t="s">
        <v>32</v>
      </c>
      <c r="H1535" s="6"/>
      <c r="I1535" s="7" t="n">
        <v>34335</v>
      </c>
      <c r="J1535" s="6" t="s">
        <v>19</v>
      </c>
      <c r="K1535" s="6"/>
    </row>
    <row r="1536" customFormat="false" ht="12.8" hidden="false" customHeight="false" outlineLevel="0" collapsed="false">
      <c r="A1536" s="6" t="str">
        <f aca="false">HYPERLINK("https://www.fabsurplus.com/sdi_catalog/salesItemDetails.do?id=99941")</f>
        <v>https://www.fabsurplus.com/sdi_catalog/salesItemDetails.do?id=99941</v>
      </c>
      <c r="B1536" s="6" t="s">
        <v>3718</v>
      </c>
      <c r="C1536" s="6" t="s">
        <v>3704</v>
      </c>
      <c r="D1536" s="6" t="s">
        <v>3716</v>
      </c>
      <c r="E1536" s="6" t="s">
        <v>3717</v>
      </c>
      <c r="F1536" s="6" t="s">
        <v>16</v>
      </c>
      <c r="G1536" s="6" t="s">
        <v>32</v>
      </c>
      <c r="H1536" s="6"/>
      <c r="I1536" s="7" t="n">
        <v>34578</v>
      </c>
      <c r="J1536" s="6" t="s">
        <v>19</v>
      </c>
      <c r="K1536" s="6"/>
    </row>
    <row r="1537" customFormat="false" ht="12.8" hidden="false" customHeight="false" outlineLevel="0" collapsed="false">
      <c r="A1537" s="6" t="str">
        <f aca="false">HYPERLINK("https://www.fabsurplus.com/sdi_catalog/salesItemDetails.do?id=99940")</f>
        <v>https://www.fabsurplus.com/sdi_catalog/salesItemDetails.do?id=99940</v>
      </c>
      <c r="B1537" s="6" t="s">
        <v>3719</v>
      </c>
      <c r="C1537" s="6" t="s">
        <v>3704</v>
      </c>
      <c r="D1537" s="6" t="s">
        <v>3716</v>
      </c>
      <c r="E1537" s="6" t="s">
        <v>3717</v>
      </c>
      <c r="F1537" s="6" t="s">
        <v>16</v>
      </c>
      <c r="G1537" s="6" t="s">
        <v>32</v>
      </c>
      <c r="H1537" s="6"/>
      <c r="I1537" s="7" t="n">
        <v>34516</v>
      </c>
      <c r="J1537" s="6" t="s">
        <v>19</v>
      </c>
      <c r="K1537" s="6"/>
    </row>
    <row r="1538" customFormat="false" ht="12.8" hidden="false" customHeight="false" outlineLevel="0" collapsed="false">
      <c r="A1538" s="6" t="str">
        <f aca="false">HYPERLINK("https://www.fabsurplus.com/sdi_catalog/salesItemDetails.do?id=99007")</f>
        <v>https://www.fabsurplus.com/sdi_catalog/salesItemDetails.do?id=99007</v>
      </c>
      <c r="B1538" s="6" t="s">
        <v>3720</v>
      </c>
      <c r="C1538" s="6" t="s">
        <v>3704</v>
      </c>
      <c r="D1538" s="6" t="s">
        <v>3721</v>
      </c>
      <c r="E1538" s="6" t="s">
        <v>2292</v>
      </c>
      <c r="F1538" s="6" t="s">
        <v>16</v>
      </c>
      <c r="G1538" s="6" t="s">
        <v>310</v>
      </c>
      <c r="H1538" s="6"/>
      <c r="I1538" s="7" t="n">
        <v>37530</v>
      </c>
      <c r="J1538" s="6" t="s">
        <v>19</v>
      </c>
      <c r="K1538" s="6"/>
    </row>
    <row r="1539" customFormat="false" ht="12.8" hidden="false" customHeight="false" outlineLevel="0" collapsed="false">
      <c r="A1539" s="8" t="str">
        <f aca="false">HYPERLINK("https://www.fabsurplus.com/sdi_catalog/salesItemDetails.do?id=99006")</f>
        <v>https://www.fabsurplus.com/sdi_catalog/salesItemDetails.do?id=99006</v>
      </c>
      <c r="B1539" s="8" t="s">
        <v>3722</v>
      </c>
      <c r="C1539" s="8" t="s">
        <v>3704</v>
      </c>
      <c r="D1539" s="8" t="s">
        <v>3721</v>
      </c>
      <c r="E1539" s="8" t="s">
        <v>2292</v>
      </c>
      <c r="F1539" s="8" t="s">
        <v>16</v>
      </c>
      <c r="G1539" s="8" t="s">
        <v>310</v>
      </c>
      <c r="H1539" s="8"/>
      <c r="I1539" s="9" t="n">
        <v>37135</v>
      </c>
      <c r="J1539" s="8" t="s">
        <v>19</v>
      </c>
      <c r="K1539" s="8"/>
    </row>
    <row r="1540" customFormat="false" ht="12.8" hidden="false" customHeight="false" outlineLevel="0" collapsed="false">
      <c r="A1540" s="6" t="str">
        <f aca="false">HYPERLINK("https://www.fabsurplus.com/sdi_catalog/salesItemDetails.do?id=97021")</f>
        <v>https://www.fabsurplus.com/sdi_catalog/salesItemDetails.do?id=97021</v>
      </c>
      <c r="B1540" s="6" t="s">
        <v>3723</v>
      </c>
      <c r="C1540" s="6" t="s">
        <v>3704</v>
      </c>
      <c r="D1540" s="6" t="s">
        <v>3721</v>
      </c>
      <c r="E1540" s="6" t="s">
        <v>3724</v>
      </c>
      <c r="F1540" s="6" t="s">
        <v>16</v>
      </c>
      <c r="G1540" s="6" t="s">
        <v>310</v>
      </c>
      <c r="H1540" s="6"/>
      <c r="I1540" s="7" t="n">
        <v>37408</v>
      </c>
      <c r="J1540" s="6" t="s">
        <v>19</v>
      </c>
      <c r="K1540" s="6"/>
    </row>
    <row r="1541" customFormat="false" ht="12.8" hidden="false" customHeight="false" outlineLevel="0" collapsed="false">
      <c r="A1541" s="8" t="str">
        <f aca="false">HYPERLINK("https://www.fabsurplus.com/sdi_catalog/salesItemDetails.do?id=99012")</f>
        <v>https://www.fabsurplus.com/sdi_catalog/salesItemDetails.do?id=99012</v>
      </c>
      <c r="B1541" s="8" t="s">
        <v>3725</v>
      </c>
      <c r="C1541" s="8" t="s">
        <v>3704</v>
      </c>
      <c r="D1541" s="8" t="s">
        <v>3726</v>
      </c>
      <c r="E1541" s="8" t="s">
        <v>2292</v>
      </c>
      <c r="F1541" s="8" t="s">
        <v>16</v>
      </c>
      <c r="G1541" s="8" t="s">
        <v>310</v>
      </c>
      <c r="H1541" s="8"/>
      <c r="I1541" s="9" t="n">
        <v>38687</v>
      </c>
      <c r="J1541" s="8" t="s">
        <v>19</v>
      </c>
      <c r="K1541" s="8"/>
    </row>
    <row r="1542" customFormat="false" ht="12.8" hidden="false" customHeight="false" outlineLevel="0" collapsed="false">
      <c r="A1542" s="8" t="str">
        <f aca="false">HYPERLINK("https://www.fabsurplus.com/sdi_catalog/salesItemDetails.do?id=98808")</f>
        <v>https://www.fabsurplus.com/sdi_catalog/salesItemDetails.do?id=98808</v>
      </c>
      <c r="B1542" s="8" t="s">
        <v>3727</v>
      </c>
      <c r="C1542" s="8" t="s">
        <v>3704</v>
      </c>
      <c r="D1542" s="8" t="s">
        <v>3726</v>
      </c>
      <c r="E1542" s="8" t="s">
        <v>2292</v>
      </c>
      <c r="F1542" s="8" t="s">
        <v>16</v>
      </c>
      <c r="G1542" s="8" t="s">
        <v>310</v>
      </c>
      <c r="H1542" s="8"/>
      <c r="I1542" s="9" t="n">
        <v>38473</v>
      </c>
      <c r="J1542" s="8" t="s">
        <v>19</v>
      </c>
      <c r="K1542" s="8"/>
    </row>
    <row r="1543" customFormat="false" ht="12.8" hidden="false" customHeight="false" outlineLevel="0" collapsed="false">
      <c r="A1543" s="8" t="str">
        <f aca="false">HYPERLINK("https://www.fabsurplus.com/sdi_catalog/salesItemDetails.do?id=97022")</f>
        <v>https://www.fabsurplus.com/sdi_catalog/salesItemDetails.do?id=97022</v>
      </c>
      <c r="B1543" s="8" t="s">
        <v>3728</v>
      </c>
      <c r="C1543" s="8" t="s">
        <v>3704</v>
      </c>
      <c r="D1543" s="8" t="s">
        <v>3729</v>
      </c>
      <c r="E1543" s="8" t="s">
        <v>3265</v>
      </c>
      <c r="F1543" s="8" t="s">
        <v>16</v>
      </c>
      <c r="G1543" s="8" t="s">
        <v>310</v>
      </c>
      <c r="H1543" s="8"/>
      <c r="I1543" s="9" t="n">
        <v>37043</v>
      </c>
      <c r="J1543" s="8" t="s">
        <v>19</v>
      </c>
      <c r="K1543" s="8"/>
    </row>
    <row r="1544" customFormat="false" ht="12.8" hidden="false" customHeight="false" outlineLevel="0" collapsed="false">
      <c r="A1544" s="6" t="str">
        <f aca="false">HYPERLINK("https://www.fabsurplus.com/sdi_catalog/salesItemDetails.do?id=99862")</f>
        <v>https://www.fabsurplus.com/sdi_catalog/salesItemDetails.do?id=99862</v>
      </c>
      <c r="B1544" s="6" t="s">
        <v>3730</v>
      </c>
      <c r="C1544" s="6" t="s">
        <v>3704</v>
      </c>
      <c r="D1544" s="6" t="s">
        <v>3731</v>
      </c>
      <c r="E1544" s="6" t="s">
        <v>1831</v>
      </c>
      <c r="F1544" s="6" t="s">
        <v>913</v>
      </c>
      <c r="G1544" s="6" t="s">
        <v>372</v>
      </c>
      <c r="H1544" s="6"/>
      <c r="I1544" s="7" t="n">
        <v>33482</v>
      </c>
      <c r="J1544" s="6" t="s">
        <v>81</v>
      </c>
      <c r="K1544" s="6"/>
    </row>
    <row r="1545" customFormat="false" ht="12.8" hidden="false" customHeight="false" outlineLevel="0" collapsed="false">
      <c r="A1545" s="8" t="str">
        <f aca="false">HYPERLINK("https://www.fabsurplus.com/sdi_catalog/salesItemDetails.do?id=98966")</f>
        <v>https://www.fabsurplus.com/sdi_catalog/salesItemDetails.do?id=98966</v>
      </c>
      <c r="B1545" s="8" t="s">
        <v>3732</v>
      </c>
      <c r="C1545" s="8" t="s">
        <v>3707</v>
      </c>
      <c r="D1545" s="8" t="s">
        <v>3733</v>
      </c>
      <c r="E1545" s="8" t="s">
        <v>3734</v>
      </c>
      <c r="F1545" s="8" t="s">
        <v>16</v>
      </c>
      <c r="G1545" s="8" t="s">
        <v>32</v>
      </c>
      <c r="H1545" s="8" t="s">
        <v>33</v>
      </c>
      <c r="I1545" s="9" t="n">
        <v>41061</v>
      </c>
      <c r="J1545" s="8" t="s">
        <v>19</v>
      </c>
      <c r="K1545" s="8" t="s">
        <v>20</v>
      </c>
    </row>
    <row r="1546" customFormat="false" ht="12.8" hidden="false" customHeight="false" outlineLevel="0" collapsed="false">
      <c r="A1546" s="6" t="str">
        <f aca="false">HYPERLINK("https://www.fabsurplus.com/sdi_catalog/salesItemDetails.do?id=98963")</f>
        <v>https://www.fabsurplus.com/sdi_catalog/salesItemDetails.do?id=98963</v>
      </c>
      <c r="B1546" s="6" t="s">
        <v>3735</v>
      </c>
      <c r="C1546" s="6" t="s">
        <v>3707</v>
      </c>
      <c r="D1546" s="6" t="s">
        <v>3733</v>
      </c>
      <c r="E1546" s="6" t="s">
        <v>3736</v>
      </c>
      <c r="F1546" s="6" t="s">
        <v>16</v>
      </c>
      <c r="G1546" s="6" t="s">
        <v>32</v>
      </c>
      <c r="H1546" s="6" t="s">
        <v>33</v>
      </c>
      <c r="I1546" s="7" t="n">
        <v>37408</v>
      </c>
      <c r="J1546" s="6" t="s">
        <v>19</v>
      </c>
      <c r="K1546" s="6" t="s">
        <v>20</v>
      </c>
    </row>
    <row r="1547" customFormat="false" ht="12.8" hidden="false" customHeight="false" outlineLevel="0" collapsed="false">
      <c r="A1547" s="6" t="str">
        <f aca="false">HYPERLINK("https://www.fabsurplus.com/sdi_catalog/salesItemDetails.do?id=98138")</f>
        <v>https://www.fabsurplus.com/sdi_catalog/salesItemDetails.do?id=98138</v>
      </c>
      <c r="B1547" s="6" t="s">
        <v>3737</v>
      </c>
      <c r="C1547" s="6" t="s">
        <v>3704</v>
      </c>
      <c r="D1547" s="6" t="s">
        <v>3738</v>
      </c>
      <c r="E1547" s="6" t="s">
        <v>3739</v>
      </c>
      <c r="F1547" s="6" t="s">
        <v>16</v>
      </c>
      <c r="G1547" s="6" t="s">
        <v>310</v>
      </c>
      <c r="H1547" s="6"/>
      <c r="I1547" s="7" t="n">
        <v>38504</v>
      </c>
      <c r="J1547" s="6" t="s">
        <v>19</v>
      </c>
      <c r="K1547" s="6"/>
    </row>
    <row r="1548" customFormat="false" ht="12.8" hidden="false" customHeight="false" outlineLevel="0" collapsed="false">
      <c r="A1548" s="8" t="str">
        <f aca="false">HYPERLINK("https://www.fabsurplus.com/sdi_catalog/salesItemDetails.do?id=98141")</f>
        <v>https://www.fabsurplus.com/sdi_catalog/salesItemDetails.do?id=98141</v>
      </c>
      <c r="B1548" s="8" t="s">
        <v>3740</v>
      </c>
      <c r="C1548" s="8" t="s">
        <v>3704</v>
      </c>
      <c r="D1548" s="8" t="s">
        <v>3738</v>
      </c>
      <c r="E1548" s="8" t="s">
        <v>3741</v>
      </c>
      <c r="F1548" s="8" t="s">
        <v>16</v>
      </c>
      <c r="G1548" s="8" t="s">
        <v>310</v>
      </c>
      <c r="H1548" s="8"/>
      <c r="I1548" s="9" t="n">
        <v>38504</v>
      </c>
      <c r="J1548" s="8" t="s">
        <v>19</v>
      </c>
      <c r="K1548" s="8"/>
    </row>
    <row r="1549" customFormat="false" ht="12.8" hidden="false" customHeight="false" outlineLevel="0" collapsed="false">
      <c r="A1549" s="6" t="str">
        <f aca="false">HYPERLINK("https://www.fabsurplus.com/sdi_catalog/salesItemDetails.do?id=98140")</f>
        <v>https://www.fabsurplus.com/sdi_catalog/salesItemDetails.do?id=98140</v>
      </c>
      <c r="B1549" s="6" t="s">
        <v>3742</v>
      </c>
      <c r="C1549" s="6" t="s">
        <v>3704</v>
      </c>
      <c r="D1549" s="6" t="s">
        <v>3738</v>
      </c>
      <c r="E1549" s="6" t="s">
        <v>3741</v>
      </c>
      <c r="F1549" s="6" t="s">
        <v>16</v>
      </c>
      <c r="G1549" s="6" t="s">
        <v>310</v>
      </c>
      <c r="H1549" s="6"/>
      <c r="I1549" s="7" t="n">
        <v>38869</v>
      </c>
      <c r="J1549" s="6" t="s">
        <v>19</v>
      </c>
      <c r="K1549" s="6"/>
    </row>
    <row r="1550" customFormat="false" ht="12.8" hidden="false" customHeight="false" outlineLevel="0" collapsed="false">
      <c r="A1550" s="8" t="str">
        <f aca="false">HYPERLINK("https://www.fabsurplus.com/sdi_catalog/salesItemDetails.do?id=98139")</f>
        <v>https://www.fabsurplus.com/sdi_catalog/salesItemDetails.do?id=98139</v>
      </c>
      <c r="B1550" s="8" t="s">
        <v>3743</v>
      </c>
      <c r="C1550" s="8" t="s">
        <v>3704</v>
      </c>
      <c r="D1550" s="8" t="s">
        <v>3738</v>
      </c>
      <c r="E1550" s="8" t="s">
        <v>3741</v>
      </c>
      <c r="F1550" s="8" t="s">
        <v>16</v>
      </c>
      <c r="G1550" s="8" t="s">
        <v>310</v>
      </c>
      <c r="H1550" s="8"/>
      <c r="I1550" s="9" t="n">
        <v>38869</v>
      </c>
      <c r="J1550" s="8" t="s">
        <v>19</v>
      </c>
      <c r="K1550" s="8"/>
    </row>
    <row r="1551" customFormat="false" ht="12.8" hidden="false" customHeight="false" outlineLevel="0" collapsed="false">
      <c r="A1551" s="8" t="str">
        <f aca="false">HYPERLINK("https://www.fabsurplus.com/sdi_catalog/salesItemDetails.do?id=98137")</f>
        <v>https://www.fabsurplus.com/sdi_catalog/salesItemDetails.do?id=98137</v>
      </c>
      <c r="B1551" s="8" t="s">
        <v>3744</v>
      </c>
      <c r="C1551" s="8" t="s">
        <v>3704</v>
      </c>
      <c r="D1551" s="8" t="s">
        <v>3738</v>
      </c>
      <c r="E1551" s="8" t="s">
        <v>3741</v>
      </c>
      <c r="F1551" s="8" t="s">
        <v>16</v>
      </c>
      <c r="G1551" s="8" t="s">
        <v>310</v>
      </c>
      <c r="H1551" s="8"/>
      <c r="I1551" s="9" t="n">
        <v>38504</v>
      </c>
      <c r="J1551" s="8" t="s">
        <v>19</v>
      </c>
      <c r="K1551" s="8"/>
    </row>
    <row r="1552" customFormat="false" ht="12.8" hidden="false" customHeight="false" outlineLevel="0" collapsed="false">
      <c r="A1552" s="6" t="str">
        <f aca="false">HYPERLINK("https://www.fabsurplus.com/sdi_catalog/salesItemDetails.do?id=98136")</f>
        <v>https://www.fabsurplus.com/sdi_catalog/salesItemDetails.do?id=98136</v>
      </c>
      <c r="B1552" s="6" t="s">
        <v>3745</v>
      </c>
      <c r="C1552" s="6" t="s">
        <v>3704</v>
      </c>
      <c r="D1552" s="6" t="s">
        <v>3738</v>
      </c>
      <c r="E1552" s="6" t="s">
        <v>3741</v>
      </c>
      <c r="F1552" s="6" t="s">
        <v>16</v>
      </c>
      <c r="G1552" s="6" t="s">
        <v>310</v>
      </c>
      <c r="H1552" s="6"/>
      <c r="I1552" s="7" t="n">
        <v>38504</v>
      </c>
      <c r="J1552" s="6" t="s">
        <v>19</v>
      </c>
      <c r="K1552" s="6"/>
    </row>
    <row r="1553" customFormat="false" ht="12.8" hidden="false" customHeight="false" outlineLevel="0" collapsed="false">
      <c r="A1553" s="8" t="str">
        <f aca="false">HYPERLINK("https://www.fabsurplus.com/sdi_catalog/salesItemDetails.do?id=98135")</f>
        <v>https://www.fabsurplus.com/sdi_catalog/salesItemDetails.do?id=98135</v>
      </c>
      <c r="B1553" s="8" t="s">
        <v>3746</v>
      </c>
      <c r="C1553" s="8" t="s">
        <v>3704</v>
      </c>
      <c r="D1553" s="8" t="s">
        <v>3738</v>
      </c>
      <c r="E1553" s="8" t="s">
        <v>3741</v>
      </c>
      <c r="F1553" s="8" t="s">
        <v>16</v>
      </c>
      <c r="G1553" s="8" t="s">
        <v>310</v>
      </c>
      <c r="H1553" s="8"/>
      <c r="I1553" s="9" t="n">
        <v>38504</v>
      </c>
      <c r="J1553" s="8" t="s">
        <v>19</v>
      </c>
      <c r="K1553" s="8"/>
    </row>
    <row r="1554" customFormat="false" ht="12.8" hidden="false" customHeight="false" outlineLevel="0" collapsed="false">
      <c r="A1554" s="6" t="str">
        <f aca="false">HYPERLINK("https://www.fabsurplus.com/sdi_catalog/salesItemDetails.do?id=99938")</f>
        <v>https://www.fabsurplus.com/sdi_catalog/salesItemDetails.do?id=99938</v>
      </c>
      <c r="B1554" s="6" t="s">
        <v>3747</v>
      </c>
      <c r="C1554" s="6" t="s">
        <v>3704</v>
      </c>
      <c r="D1554" s="6" t="s">
        <v>3748</v>
      </c>
      <c r="E1554" s="6" t="s">
        <v>3749</v>
      </c>
      <c r="F1554" s="6" t="s">
        <v>16</v>
      </c>
      <c r="G1554" s="6" t="s">
        <v>310</v>
      </c>
      <c r="H1554" s="6"/>
      <c r="I1554" s="7" t="n">
        <v>38961</v>
      </c>
      <c r="J1554" s="6" t="s">
        <v>19</v>
      </c>
      <c r="K1554" s="6"/>
    </row>
    <row r="1555" customFormat="false" ht="12.8" hidden="false" customHeight="false" outlineLevel="0" collapsed="false">
      <c r="A1555" s="8" t="str">
        <f aca="false">HYPERLINK("https://www.fabsurplus.com/sdi_catalog/salesItemDetails.do?id=98142")</f>
        <v>https://www.fabsurplus.com/sdi_catalog/salesItemDetails.do?id=98142</v>
      </c>
      <c r="B1555" s="8" t="s">
        <v>3750</v>
      </c>
      <c r="C1555" s="8" t="s">
        <v>3704</v>
      </c>
      <c r="D1555" s="8" t="s">
        <v>3751</v>
      </c>
      <c r="E1555" s="8" t="s">
        <v>3752</v>
      </c>
      <c r="F1555" s="8" t="s">
        <v>16</v>
      </c>
      <c r="G1555" s="8" t="s">
        <v>310</v>
      </c>
      <c r="H1555" s="8"/>
      <c r="I1555" s="8"/>
      <c r="J1555" s="8" t="s">
        <v>19</v>
      </c>
      <c r="K1555" s="8"/>
    </row>
    <row r="1556" customFormat="false" ht="12.8" hidden="false" customHeight="false" outlineLevel="0" collapsed="false">
      <c r="A1556" s="8" t="str">
        <f aca="false">HYPERLINK("https://www.fabsurplus.com/sdi_catalog/salesItemDetails.do?id=98143")</f>
        <v>https://www.fabsurplus.com/sdi_catalog/salesItemDetails.do?id=98143</v>
      </c>
      <c r="B1556" s="8" t="s">
        <v>3753</v>
      </c>
      <c r="C1556" s="8" t="s">
        <v>3704</v>
      </c>
      <c r="D1556" s="8" t="s">
        <v>3754</v>
      </c>
      <c r="E1556" s="8" t="s">
        <v>3755</v>
      </c>
      <c r="F1556" s="8" t="s">
        <v>16</v>
      </c>
      <c r="G1556" s="8" t="s">
        <v>310</v>
      </c>
      <c r="H1556" s="8"/>
      <c r="I1556" s="8"/>
      <c r="J1556" s="8" t="s">
        <v>19</v>
      </c>
      <c r="K1556" s="8"/>
    </row>
    <row r="1557" customFormat="false" ht="12.8" hidden="false" customHeight="false" outlineLevel="0" collapsed="false">
      <c r="A1557" s="8" t="str">
        <f aca="false">HYPERLINK("https://www.fabsurplus.com/sdi_catalog/salesItemDetails.do?id=99008")</f>
        <v>https://www.fabsurplus.com/sdi_catalog/salesItemDetails.do?id=99008</v>
      </c>
      <c r="B1557" s="8" t="s">
        <v>3756</v>
      </c>
      <c r="C1557" s="8" t="s">
        <v>3704</v>
      </c>
      <c r="D1557" s="8" t="s">
        <v>3757</v>
      </c>
      <c r="E1557" s="8" t="s">
        <v>2292</v>
      </c>
      <c r="F1557" s="8" t="s">
        <v>16</v>
      </c>
      <c r="G1557" s="8" t="s">
        <v>310</v>
      </c>
      <c r="H1557" s="8"/>
      <c r="I1557" s="9" t="n">
        <v>39173</v>
      </c>
      <c r="J1557" s="8" t="s">
        <v>19</v>
      </c>
      <c r="K1557" s="8"/>
    </row>
    <row r="1558" customFormat="false" ht="12.8" hidden="false" customHeight="false" outlineLevel="0" collapsed="false">
      <c r="A1558" s="8" t="str">
        <f aca="false">HYPERLINK("https://www.fabsurplus.com/sdi_catalog/salesItemDetails.do?id=98810")</f>
        <v>https://www.fabsurplus.com/sdi_catalog/salesItemDetails.do?id=98810</v>
      </c>
      <c r="B1558" s="8" t="s">
        <v>3758</v>
      </c>
      <c r="C1558" s="8" t="s">
        <v>3704</v>
      </c>
      <c r="D1558" s="8" t="s">
        <v>3757</v>
      </c>
      <c r="E1558" s="8" t="s">
        <v>2292</v>
      </c>
      <c r="F1558" s="8" t="s">
        <v>16</v>
      </c>
      <c r="G1558" s="8" t="s">
        <v>310</v>
      </c>
      <c r="H1558" s="8" t="s">
        <v>18</v>
      </c>
      <c r="I1558" s="9" t="n">
        <v>39387</v>
      </c>
      <c r="J1558" s="8" t="s">
        <v>19</v>
      </c>
      <c r="K1558" s="8" t="s">
        <v>20</v>
      </c>
    </row>
    <row r="1559" customFormat="false" ht="12.8" hidden="false" customHeight="false" outlineLevel="0" collapsed="false">
      <c r="A1559" s="6" t="str">
        <f aca="false">HYPERLINK("https://www.fabsurplus.com/sdi_catalog/salesItemDetails.do?id=98809")</f>
        <v>https://www.fabsurplus.com/sdi_catalog/salesItemDetails.do?id=98809</v>
      </c>
      <c r="B1559" s="6" t="s">
        <v>3759</v>
      </c>
      <c r="C1559" s="6" t="s">
        <v>3704</v>
      </c>
      <c r="D1559" s="6" t="s">
        <v>3757</v>
      </c>
      <c r="E1559" s="6" t="s">
        <v>2292</v>
      </c>
      <c r="F1559" s="6" t="s">
        <v>16</v>
      </c>
      <c r="G1559" s="6" t="s">
        <v>310</v>
      </c>
      <c r="H1559" s="6"/>
      <c r="I1559" s="7" t="n">
        <v>38231</v>
      </c>
      <c r="J1559" s="6" t="s">
        <v>19</v>
      </c>
      <c r="K1559" s="6"/>
    </row>
    <row r="1560" customFormat="false" ht="12.8" hidden="false" customHeight="false" outlineLevel="0" collapsed="false">
      <c r="A1560" s="6" t="str">
        <f aca="false">HYPERLINK("https://www.fabsurplus.com/sdi_catalog/salesItemDetails.do?id=99009")</f>
        <v>https://www.fabsurplus.com/sdi_catalog/salesItemDetails.do?id=99009</v>
      </c>
      <c r="B1560" s="6" t="s">
        <v>3760</v>
      </c>
      <c r="C1560" s="6" t="s">
        <v>3704</v>
      </c>
      <c r="D1560" s="6" t="s">
        <v>3761</v>
      </c>
      <c r="E1560" s="6" t="s">
        <v>2292</v>
      </c>
      <c r="F1560" s="6" t="s">
        <v>16</v>
      </c>
      <c r="G1560" s="6" t="s">
        <v>310</v>
      </c>
      <c r="H1560" s="6"/>
      <c r="I1560" s="7" t="n">
        <v>37895</v>
      </c>
      <c r="J1560" s="6" t="s">
        <v>19</v>
      </c>
      <c r="K1560" s="6"/>
    </row>
    <row r="1561" customFormat="false" ht="12.8" hidden="false" customHeight="false" outlineLevel="0" collapsed="false">
      <c r="A1561" s="6" t="str">
        <f aca="false">HYPERLINK("https://www.fabsurplus.com/sdi_catalog/salesItemDetails.do?id=98811")</f>
        <v>https://www.fabsurplus.com/sdi_catalog/salesItemDetails.do?id=98811</v>
      </c>
      <c r="B1561" s="6" t="s">
        <v>3762</v>
      </c>
      <c r="C1561" s="6" t="s">
        <v>3704</v>
      </c>
      <c r="D1561" s="6" t="s">
        <v>3761</v>
      </c>
      <c r="E1561" s="6" t="s">
        <v>2292</v>
      </c>
      <c r="F1561" s="6" t="s">
        <v>16</v>
      </c>
      <c r="G1561" s="6" t="s">
        <v>310</v>
      </c>
      <c r="H1561" s="6" t="s">
        <v>18</v>
      </c>
      <c r="I1561" s="7" t="n">
        <v>37865</v>
      </c>
      <c r="J1561" s="6" t="s">
        <v>19</v>
      </c>
      <c r="K1561" s="6" t="s">
        <v>20</v>
      </c>
    </row>
    <row r="1562" customFormat="false" ht="12.8" hidden="false" customHeight="false" outlineLevel="0" collapsed="false">
      <c r="A1562" s="6" t="str">
        <f aca="false">HYPERLINK("https://www.fabsurplus.com/sdi_catalog/salesItemDetails.do?id=99004")</f>
        <v>https://www.fabsurplus.com/sdi_catalog/salesItemDetails.do?id=99004</v>
      </c>
      <c r="B1562" s="6" t="s">
        <v>3763</v>
      </c>
      <c r="C1562" s="6" t="s">
        <v>3707</v>
      </c>
      <c r="D1562" s="6" t="s">
        <v>3764</v>
      </c>
      <c r="E1562" s="6" t="s">
        <v>2292</v>
      </c>
      <c r="F1562" s="6" t="s">
        <v>16</v>
      </c>
      <c r="G1562" s="6" t="s">
        <v>310</v>
      </c>
      <c r="H1562" s="6"/>
      <c r="I1562" s="7" t="n">
        <v>38231</v>
      </c>
      <c r="J1562" s="6" t="s">
        <v>19</v>
      </c>
      <c r="K1562" s="6"/>
    </row>
    <row r="1563" customFormat="false" ht="12.8" hidden="false" customHeight="false" outlineLevel="0" collapsed="false">
      <c r="A1563" s="8" t="str">
        <f aca="false">HYPERLINK("https://www.fabsurplus.com/sdi_catalog/salesItemDetails.do?id=99003")</f>
        <v>https://www.fabsurplus.com/sdi_catalog/salesItemDetails.do?id=99003</v>
      </c>
      <c r="B1563" s="8" t="s">
        <v>3765</v>
      </c>
      <c r="C1563" s="8" t="s">
        <v>3704</v>
      </c>
      <c r="D1563" s="8" t="s">
        <v>3764</v>
      </c>
      <c r="E1563" s="8" t="s">
        <v>2292</v>
      </c>
      <c r="F1563" s="8" t="s">
        <v>16</v>
      </c>
      <c r="G1563" s="8" t="s">
        <v>310</v>
      </c>
      <c r="H1563" s="8"/>
      <c r="I1563" s="9" t="n">
        <v>37895</v>
      </c>
      <c r="J1563" s="8" t="s">
        <v>19</v>
      </c>
      <c r="K1563" s="8"/>
    </row>
    <row r="1564" customFormat="false" ht="12.8" hidden="false" customHeight="false" outlineLevel="0" collapsed="false">
      <c r="A1564" s="8" t="str">
        <f aca="false">HYPERLINK("https://www.fabsurplus.com/sdi_catalog/salesItemDetails.do?id=98812")</f>
        <v>https://www.fabsurplus.com/sdi_catalog/salesItemDetails.do?id=98812</v>
      </c>
      <c r="B1564" s="8" t="s">
        <v>3766</v>
      </c>
      <c r="C1564" s="8" t="s">
        <v>3704</v>
      </c>
      <c r="D1564" s="8" t="s">
        <v>3764</v>
      </c>
      <c r="E1564" s="8" t="s">
        <v>2292</v>
      </c>
      <c r="F1564" s="8" t="s">
        <v>16</v>
      </c>
      <c r="G1564" s="8" t="s">
        <v>310</v>
      </c>
      <c r="H1564" s="8"/>
      <c r="I1564" s="9" t="n">
        <v>38200</v>
      </c>
      <c r="J1564" s="8" t="s">
        <v>19</v>
      </c>
      <c r="K1564" s="8"/>
    </row>
    <row r="1565" customFormat="false" ht="12.8" hidden="false" customHeight="false" outlineLevel="0" collapsed="false">
      <c r="A1565" s="6" t="str">
        <f aca="false">HYPERLINK("https://www.fabsurplus.com/sdi_catalog/salesItemDetails.do?id=98967")</f>
        <v>https://www.fabsurplus.com/sdi_catalog/salesItemDetails.do?id=98967</v>
      </c>
      <c r="B1565" s="6" t="s">
        <v>3767</v>
      </c>
      <c r="C1565" s="6" t="s">
        <v>3707</v>
      </c>
      <c r="D1565" s="6" t="s">
        <v>3768</v>
      </c>
      <c r="E1565" s="6" t="s">
        <v>3769</v>
      </c>
      <c r="F1565" s="6" t="s">
        <v>16</v>
      </c>
      <c r="G1565" s="6" t="s">
        <v>32</v>
      </c>
      <c r="H1565" s="6" t="s">
        <v>33</v>
      </c>
      <c r="I1565" s="7" t="n">
        <v>37043</v>
      </c>
      <c r="J1565" s="6" t="s">
        <v>19</v>
      </c>
      <c r="K1565" s="6" t="s">
        <v>20</v>
      </c>
    </row>
    <row r="1566" customFormat="false" ht="12.8" hidden="false" customHeight="false" outlineLevel="0" collapsed="false">
      <c r="A1566" s="6" t="str">
        <f aca="false">HYPERLINK("https://www.fabsurplus.com/sdi_catalog/salesItemDetails.do?id=99939")</f>
        <v>https://www.fabsurplus.com/sdi_catalog/salesItemDetails.do?id=99939</v>
      </c>
      <c r="B1566" s="6" t="s">
        <v>3770</v>
      </c>
      <c r="C1566" s="6" t="s">
        <v>3704</v>
      </c>
      <c r="D1566" s="6" t="s">
        <v>3771</v>
      </c>
      <c r="E1566" s="6" t="s">
        <v>3772</v>
      </c>
      <c r="F1566" s="6" t="s">
        <v>16</v>
      </c>
      <c r="G1566" s="6" t="s">
        <v>310</v>
      </c>
      <c r="H1566" s="6"/>
      <c r="I1566" s="6"/>
      <c r="J1566" s="6" t="s">
        <v>19</v>
      </c>
      <c r="K1566" s="6"/>
    </row>
    <row r="1567" customFormat="false" ht="12.8" hidden="false" customHeight="false" outlineLevel="0" collapsed="false">
      <c r="A1567" s="8" t="str">
        <f aca="false">HYPERLINK("https://www.fabsurplus.com/sdi_catalog/salesItemDetails.do?id=98144")</f>
        <v>https://www.fabsurplus.com/sdi_catalog/salesItemDetails.do?id=98144</v>
      </c>
      <c r="B1567" s="8" t="s">
        <v>3773</v>
      </c>
      <c r="C1567" s="8" t="s">
        <v>3704</v>
      </c>
      <c r="D1567" s="8" t="s">
        <v>3774</v>
      </c>
      <c r="E1567" s="8" t="s">
        <v>3752</v>
      </c>
      <c r="F1567" s="8" t="s">
        <v>16</v>
      </c>
      <c r="G1567" s="8" t="s">
        <v>310</v>
      </c>
      <c r="H1567" s="8"/>
      <c r="I1567" s="8"/>
      <c r="J1567" s="8" t="s">
        <v>19</v>
      </c>
      <c r="K1567" s="8"/>
    </row>
    <row r="1568" customFormat="false" ht="12.8" hidden="false" customHeight="false" outlineLevel="0" collapsed="false">
      <c r="A1568" s="6" t="str">
        <f aca="false">HYPERLINK("https://www.fabsurplus.com/sdi_catalog/salesItemDetails.do?id=97023")</f>
        <v>https://www.fabsurplus.com/sdi_catalog/salesItemDetails.do?id=97023</v>
      </c>
      <c r="B1568" s="6" t="s">
        <v>3775</v>
      </c>
      <c r="C1568" s="6" t="s">
        <v>3704</v>
      </c>
      <c r="D1568" s="6" t="s">
        <v>3776</v>
      </c>
      <c r="E1568" s="6" t="s">
        <v>3777</v>
      </c>
      <c r="F1568" s="6" t="s">
        <v>16</v>
      </c>
      <c r="G1568" s="6" t="s">
        <v>310</v>
      </c>
      <c r="H1568" s="6"/>
      <c r="I1568" s="7" t="n">
        <v>42156</v>
      </c>
      <c r="J1568" s="6" t="s">
        <v>19</v>
      </c>
      <c r="K1568" s="6"/>
    </row>
    <row r="1569" customFormat="false" ht="12.8" hidden="false" customHeight="false" outlineLevel="0" collapsed="false">
      <c r="A1569" s="6" t="str">
        <f aca="false">HYPERLINK("https://www.fabsurplus.com/sdi_catalog/salesItemDetails.do?id=100190")</f>
        <v>https://www.fabsurplus.com/sdi_catalog/salesItemDetails.do?id=100190</v>
      </c>
      <c r="B1569" s="6" t="s">
        <v>3778</v>
      </c>
      <c r="C1569" s="6" t="s">
        <v>3704</v>
      </c>
      <c r="D1569" s="6" t="s">
        <v>3779</v>
      </c>
      <c r="E1569" s="6" t="s">
        <v>2006</v>
      </c>
      <c r="F1569" s="6" t="s">
        <v>16</v>
      </c>
      <c r="G1569" s="6" t="s">
        <v>686</v>
      </c>
      <c r="H1569" s="6"/>
      <c r="I1569" s="7" t="n">
        <v>43252</v>
      </c>
      <c r="J1569" s="6" t="s">
        <v>19</v>
      </c>
      <c r="K1569" s="6"/>
    </row>
    <row r="1570" customFormat="false" ht="12.8" hidden="false" customHeight="false" outlineLevel="0" collapsed="false">
      <c r="A1570" s="6" t="str">
        <f aca="false">HYPERLINK("https://www.fabsurplus.com/sdi_catalog/salesItemDetails.do?id=100189")</f>
        <v>https://www.fabsurplus.com/sdi_catalog/salesItemDetails.do?id=100189</v>
      </c>
      <c r="B1570" s="6" t="s">
        <v>3780</v>
      </c>
      <c r="C1570" s="6" t="s">
        <v>3704</v>
      </c>
      <c r="D1570" s="6" t="s">
        <v>3779</v>
      </c>
      <c r="E1570" s="6" t="s">
        <v>2006</v>
      </c>
      <c r="F1570" s="6" t="s">
        <v>16</v>
      </c>
      <c r="G1570" s="6" t="s">
        <v>686</v>
      </c>
      <c r="H1570" s="6"/>
      <c r="I1570" s="7" t="n">
        <v>40695</v>
      </c>
      <c r="J1570" s="6" t="s">
        <v>19</v>
      </c>
      <c r="K1570" s="6"/>
    </row>
    <row r="1571" customFormat="false" ht="12.8" hidden="false" customHeight="false" outlineLevel="0" collapsed="false">
      <c r="A1571" s="6" t="str">
        <f aca="false">HYPERLINK("https://www.fabsurplus.com/sdi_catalog/salesItemDetails.do?id=100191")</f>
        <v>https://www.fabsurplus.com/sdi_catalog/salesItemDetails.do?id=100191</v>
      </c>
      <c r="B1571" s="6" t="s">
        <v>3781</v>
      </c>
      <c r="C1571" s="6" t="s">
        <v>3704</v>
      </c>
      <c r="D1571" s="6" t="s">
        <v>3782</v>
      </c>
      <c r="E1571" s="6" t="s">
        <v>1836</v>
      </c>
      <c r="F1571" s="6" t="s">
        <v>16</v>
      </c>
      <c r="G1571" s="6" t="s">
        <v>686</v>
      </c>
      <c r="H1571" s="6"/>
      <c r="I1571" s="6"/>
      <c r="J1571" s="6" t="s">
        <v>19</v>
      </c>
      <c r="K1571" s="6"/>
    </row>
    <row r="1572" customFormat="false" ht="12.8" hidden="false" customHeight="false" outlineLevel="0" collapsed="false">
      <c r="A1572" s="8" t="str">
        <f aca="false">HYPERLINK("https://www.fabsurplus.com/sdi_catalog/salesItemDetails.do?id=97660")</f>
        <v>https://www.fabsurplus.com/sdi_catalog/salesItemDetails.do?id=97660</v>
      </c>
      <c r="B1572" s="8" t="s">
        <v>3783</v>
      </c>
      <c r="C1572" s="8" t="s">
        <v>3704</v>
      </c>
      <c r="D1572" s="8" t="s">
        <v>3782</v>
      </c>
      <c r="E1572" s="8" t="s">
        <v>1836</v>
      </c>
      <c r="F1572" s="8" t="s">
        <v>16</v>
      </c>
      <c r="G1572" s="8" t="s">
        <v>310</v>
      </c>
      <c r="H1572" s="8" t="s">
        <v>33</v>
      </c>
      <c r="I1572" s="9" t="n">
        <v>40575</v>
      </c>
      <c r="J1572" s="8" t="s">
        <v>19</v>
      </c>
      <c r="K1572" s="8" t="s">
        <v>20</v>
      </c>
    </row>
    <row r="1573" customFormat="false" ht="12.8" hidden="false" customHeight="false" outlineLevel="0" collapsed="false">
      <c r="A1573" s="8" t="str">
        <f aca="false">HYPERLINK("https://www.fabsurplus.com/sdi_catalog/salesItemDetails.do?id=100195")</f>
        <v>https://www.fabsurplus.com/sdi_catalog/salesItemDetails.do?id=100195</v>
      </c>
      <c r="B1573" s="8" t="s">
        <v>3784</v>
      </c>
      <c r="C1573" s="8" t="s">
        <v>3704</v>
      </c>
      <c r="D1573" s="8" t="s">
        <v>3785</v>
      </c>
      <c r="E1573" s="8" t="s">
        <v>1836</v>
      </c>
      <c r="F1573" s="8" t="s">
        <v>16</v>
      </c>
      <c r="G1573" s="8" t="s">
        <v>686</v>
      </c>
      <c r="H1573" s="8"/>
      <c r="I1573" s="9" t="n">
        <v>38869</v>
      </c>
      <c r="J1573" s="8" t="s">
        <v>19</v>
      </c>
      <c r="K1573" s="8"/>
    </row>
    <row r="1574" customFormat="false" ht="12.8" hidden="false" customHeight="false" outlineLevel="0" collapsed="false">
      <c r="A1574" s="8" t="str">
        <f aca="false">HYPERLINK("https://www.fabsurplus.com/sdi_catalog/salesItemDetails.do?id=100194")</f>
        <v>https://www.fabsurplus.com/sdi_catalog/salesItemDetails.do?id=100194</v>
      </c>
      <c r="B1574" s="8" t="s">
        <v>3786</v>
      </c>
      <c r="C1574" s="8" t="s">
        <v>3704</v>
      </c>
      <c r="D1574" s="8" t="s">
        <v>3785</v>
      </c>
      <c r="E1574" s="8" t="s">
        <v>1836</v>
      </c>
      <c r="F1574" s="8" t="s">
        <v>16</v>
      </c>
      <c r="G1574" s="8" t="s">
        <v>686</v>
      </c>
      <c r="H1574" s="8"/>
      <c r="I1574" s="9" t="n">
        <v>41791</v>
      </c>
      <c r="J1574" s="8" t="s">
        <v>19</v>
      </c>
      <c r="K1574" s="8"/>
    </row>
    <row r="1575" customFormat="false" ht="12.8" hidden="false" customHeight="false" outlineLevel="0" collapsed="false">
      <c r="A1575" s="8" t="str">
        <f aca="false">HYPERLINK("https://www.fabsurplus.com/sdi_catalog/salesItemDetails.do?id=100193")</f>
        <v>https://www.fabsurplus.com/sdi_catalog/salesItemDetails.do?id=100193</v>
      </c>
      <c r="B1575" s="8" t="s">
        <v>3787</v>
      </c>
      <c r="C1575" s="8" t="s">
        <v>3704</v>
      </c>
      <c r="D1575" s="8" t="s">
        <v>3785</v>
      </c>
      <c r="E1575" s="8" t="s">
        <v>1836</v>
      </c>
      <c r="F1575" s="8" t="s">
        <v>16</v>
      </c>
      <c r="G1575" s="8" t="s">
        <v>686</v>
      </c>
      <c r="H1575" s="8"/>
      <c r="I1575" s="9" t="n">
        <v>38869</v>
      </c>
      <c r="J1575" s="8" t="s">
        <v>19</v>
      </c>
      <c r="K1575" s="8"/>
    </row>
    <row r="1576" customFormat="false" ht="12.8" hidden="false" customHeight="false" outlineLevel="0" collapsed="false">
      <c r="A1576" s="6" t="str">
        <f aca="false">HYPERLINK("https://www.fabsurplus.com/sdi_catalog/salesItemDetails.do?id=100192")</f>
        <v>https://www.fabsurplus.com/sdi_catalog/salesItemDetails.do?id=100192</v>
      </c>
      <c r="B1576" s="6" t="s">
        <v>3788</v>
      </c>
      <c r="C1576" s="6" t="s">
        <v>3704</v>
      </c>
      <c r="D1576" s="6" t="s">
        <v>3785</v>
      </c>
      <c r="E1576" s="6" t="s">
        <v>1836</v>
      </c>
      <c r="F1576" s="6" t="s">
        <v>16</v>
      </c>
      <c r="G1576" s="6" t="s">
        <v>686</v>
      </c>
      <c r="H1576" s="6"/>
      <c r="I1576" s="6"/>
      <c r="J1576" s="6" t="s">
        <v>19</v>
      </c>
      <c r="K1576" s="6"/>
    </row>
    <row r="1577" customFormat="false" ht="12.8" hidden="false" customHeight="false" outlineLevel="0" collapsed="false">
      <c r="A1577" s="6" t="str">
        <f aca="false">HYPERLINK("https://www.fabsurplus.com/sdi_catalog/salesItemDetails.do?id=100203")</f>
        <v>https://www.fabsurplus.com/sdi_catalog/salesItemDetails.do?id=100203</v>
      </c>
      <c r="B1577" s="6" t="s">
        <v>3789</v>
      </c>
      <c r="C1577" s="6" t="s">
        <v>3704</v>
      </c>
      <c r="D1577" s="6" t="s">
        <v>3790</v>
      </c>
      <c r="E1577" s="6" t="s">
        <v>1836</v>
      </c>
      <c r="F1577" s="6" t="s">
        <v>16</v>
      </c>
      <c r="G1577" s="6" t="s">
        <v>686</v>
      </c>
      <c r="H1577" s="6"/>
      <c r="I1577" s="7" t="n">
        <v>41426</v>
      </c>
      <c r="J1577" s="6" t="s">
        <v>19</v>
      </c>
      <c r="K1577" s="6"/>
    </row>
    <row r="1578" customFormat="false" ht="12.8" hidden="false" customHeight="false" outlineLevel="0" collapsed="false">
      <c r="A1578" s="8" t="str">
        <f aca="false">HYPERLINK("https://www.fabsurplus.com/sdi_catalog/salesItemDetails.do?id=100202")</f>
        <v>https://www.fabsurplus.com/sdi_catalog/salesItemDetails.do?id=100202</v>
      </c>
      <c r="B1578" s="8" t="s">
        <v>3791</v>
      </c>
      <c r="C1578" s="8" t="s">
        <v>3704</v>
      </c>
      <c r="D1578" s="8" t="s">
        <v>3790</v>
      </c>
      <c r="E1578" s="8" t="s">
        <v>1836</v>
      </c>
      <c r="F1578" s="8" t="s">
        <v>16</v>
      </c>
      <c r="G1578" s="8" t="s">
        <v>686</v>
      </c>
      <c r="H1578" s="8"/>
      <c r="I1578" s="8"/>
      <c r="J1578" s="8" t="s">
        <v>19</v>
      </c>
      <c r="K1578" s="8"/>
    </row>
    <row r="1579" customFormat="false" ht="12.8" hidden="false" customHeight="false" outlineLevel="0" collapsed="false">
      <c r="A1579" s="6" t="str">
        <f aca="false">HYPERLINK("https://www.fabsurplus.com/sdi_catalog/salesItemDetails.do?id=100201")</f>
        <v>https://www.fabsurplus.com/sdi_catalog/salesItemDetails.do?id=100201</v>
      </c>
      <c r="B1579" s="6" t="s">
        <v>3792</v>
      </c>
      <c r="C1579" s="6" t="s">
        <v>3704</v>
      </c>
      <c r="D1579" s="6" t="s">
        <v>3790</v>
      </c>
      <c r="E1579" s="6" t="s">
        <v>1836</v>
      </c>
      <c r="F1579" s="6" t="s">
        <v>16</v>
      </c>
      <c r="G1579" s="6" t="s">
        <v>686</v>
      </c>
      <c r="H1579" s="6"/>
      <c r="I1579" s="6"/>
      <c r="J1579" s="6" t="s">
        <v>19</v>
      </c>
      <c r="K1579" s="6"/>
    </row>
    <row r="1580" customFormat="false" ht="12.8" hidden="false" customHeight="false" outlineLevel="0" collapsed="false">
      <c r="A1580" s="8" t="str">
        <f aca="false">HYPERLINK("https://www.fabsurplus.com/sdi_catalog/salesItemDetails.do?id=100200")</f>
        <v>https://www.fabsurplus.com/sdi_catalog/salesItemDetails.do?id=100200</v>
      </c>
      <c r="B1580" s="8" t="s">
        <v>3793</v>
      </c>
      <c r="C1580" s="8" t="s">
        <v>3704</v>
      </c>
      <c r="D1580" s="8" t="s">
        <v>3790</v>
      </c>
      <c r="E1580" s="8" t="s">
        <v>1836</v>
      </c>
      <c r="F1580" s="8" t="s">
        <v>16</v>
      </c>
      <c r="G1580" s="8" t="s">
        <v>686</v>
      </c>
      <c r="H1580" s="8"/>
      <c r="I1580" s="9" t="n">
        <v>39234</v>
      </c>
      <c r="J1580" s="8" t="s">
        <v>19</v>
      </c>
      <c r="K1580" s="8"/>
    </row>
    <row r="1581" customFormat="false" ht="12.8" hidden="false" customHeight="false" outlineLevel="0" collapsed="false">
      <c r="A1581" s="6" t="str">
        <f aca="false">HYPERLINK("https://www.fabsurplus.com/sdi_catalog/salesItemDetails.do?id=100199")</f>
        <v>https://www.fabsurplus.com/sdi_catalog/salesItemDetails.do?id=100199</v>
      </c>
      <c r="B1581" s="6" t="s">
        <v>3794</v>
      </c>
      <c r="C1581" s="6" t="s">
        <v>3704</v>
      </c>
      <c r="D1581" s="6" t="s">
        <v>3790</v>
      </c>
      <c r="E1581" s="6" t="s">
        <v>1836</v>
      </c>
      <c r="F1581" s="6" t="s">
        <v>16</v>
      </c>
      <c r="G1581" s="6" t="s">
        <v>686</v>
      </c>
      <c r="H1581" s="6"/>
      <c r="I1581" s="7" t="n">
        <v>39234</v>
      </c>
      <c r="J1581" s="6" t="s">
        <v>19</v>
      </c>
      <c r="K1581" s="6"/>
    </row>
    <row r="1582" customFormat="false" ht="12.8" hidden="false" customHeight="false" outlineLevel="0" collapsed="false">
      <c r="A1582" s="8" t="str">
        <f aca="false">HYPERLINK("https://www.fabsurplus.com/sdi_catalog/salesItemDetails.do?id=100198")</f>
        <v>https://www.fabsurplus.com/sdi_catalog/salesItemDetails.do?id=100198</v>
      </c>
      <c r="B1582" s="8" t="s">
        <v>3795</v>
      </c>
      <c r="C1582" s="8" t="s">
        <v>3704</v>
      </c>
      <c r="D1582" s="8" t="s">
        <v>3790</v>
      </c>
      <c r="E1582" s="8" t="s">
        <v>1836</v>
      </c>
      <c r="F1582" s="8" t="s">
        <v>16</v>
      </c>
      <c r="G1582" s="8" t="s">
        <v>686</v>
      </c>
      <c r="H1582" s="8"/>
      <c r="I1582" s="9" t="n">
        <v>39234</v>
      </c>
      <c r="J1582" s="8" t="s">
        <v>19</v>
      </c>
      <c r="K1582" s="8"/>
    </row>
    <row r="1583" customFormat="false" ht="12.8" hidden="false" customHeight="false" outlineLevel="0" collapsed="false">
      <c r="A1583" s="8" t="str">
        <f aca="false">HYPERLINK("https://www.fabsurplus.com/sdi_catalog/salesItemDetails.do?id=100197")</f>
        <v>https://www.fabsurplus.com/sdi_catalog/salesItemDetails.do?id=100197</v>
      </c>
      <c r="B1583" s="8" t="s">
        <v>3796</v>
      </c>
      <c r="C1583" s="8" t="s">
        <v>3704</v>
      </c>
      <c r="D1583" s="8" t="s">
        <v>3790</v>
      </c>
      <c r="E1583" s="8" t="s">
        <v>1836</v>
      </c>
      <c r="F1583" s="8" t="s">
        <v>16</v>
      </c>
      <c r="G1583" s="8" t="s">
        <v>686</v>
      </c>
      <c r="H1583" s="8"/>
      <c r="I1583" s="9" t="n">
        <v>39234</v>
      </c>
      <c r="J1583" s="8" t="s">
        <v>19</v>
      </c>
      <c r="K1583" s="8"/>
    </row>
    <row r="1584" customFormat="false" ht="12.8" hidden="false" customHeight="false" outlineLevel="0" collapsed="false">
      <c r="A1584" s="8" t="str">
        <f aca="false">HYPERLINK("https://www.fabsurplus.com/sdi_catalog/salesItemDetails.do?id=100196")</f>
        <v>https://www.fabsurplus.com/sdi_catalog/salesItemDetails.do?id=100196</v>
      </c>
      <c r="B1584" s="8" t="s">
        <v>3797</v>
      </c>
      <c r="C1584" s="8" t="s">
        <v>3704</v>
      </c>
      <c r="D1584" s="8" t="s">
        <v>3790</v>
      </c>
      <c r="E1584" s="8" t="s">
        <v>1836</v>
      </c>
      <c r="F1584" s="8" t="s">
        <v>16</v>
      </c>
      <c r="G1584" s="8" t="s">
        <v>686</v>
      </c>
      <c r="H1584" s="8"/>
      <c r="I1584" s="9" t="n">
        <v>39234</v>
      </c>
      <c r="J1584" s="8" t="s">
        <v>19</v>
      </c>
      <c r="K1584" s="8"/>
    </row>
    <row r="1585" customFormat="false" ht="12.8" hidden="false" customHeight="false" outlineLevel="0" collapsed="false">
      <c r="A1585" s="8" t="str">
        <f aca="false">HYPERLINK("https://www.fabsurplus.com/sdi_catalog/salesItemDetails.do?id=97667")</f>
        <v>https://www.fabsurplus.com/sdi_catalog/salesItemDetails.do?id=97667</v>
      </c>
      <c r="B1585" s="8" t="s">
        <v>3798</v>
      </c>
      <c r="C1585" s="8" t="s">
        <v>3704</v>
      </c>
      <c r="D1585" s="8" t="s">
        <v>3799</v>
      </c>
      <c r="E1585" s="8" t="s">
        <v>1836</v>
      </c>
      <c r="F1585" s="8" t="s">
        <v>16</v>
      </c>
      <c r="G1585" s="8" t="s">
        <v>310</v>
      </c>
      <c r="H1585" s="8" t="s">
        <v>33</v>
      </c>
      <c r="I1585" s="9" t="n">
        <v>38626</v>
      </c>
      <c r="J1585" s="8" t="s">
        <v>19</v>
      </c>
      <c r="K1585" s="8" t="s">
        <v>20</v>
      </c>
    </row>
    <row r="1586" customFormat="false" ht="12.8" hidden="false" customHeight="false" outlineLevel="0" collapsed="false">
      <c r="A1586" s="6" t="str">
        <f aca="false">HYPERLINK("https://www.fabsurplus.com/sdi_catalog/salesItemDetails.do?id=97665")</f>
        <v>https://www.fabsurplus.com/sdi_catalog/salesItemDetails.do?id=97665</v>
      </c>
      <c r="B1586" s="6" t="s">
        <v>3800</v>
      </c>
      <c r="C1586" s="6" t="s">
        <v>3704</v>
      </c>
      <c r="D1586" s="6" t="s">
        <v>3799</v>
      </c>
      <c r="E1586" s="6" t="s">
        <v>1836</v>
      </c>
      <c r="F1586" s="6" t="s">
        <v>16</v>
      </c>
      <c r="G1586" s="6" t="s">
        <v>310</v>
      </c>
      <c r="H1586" s="6" t="s">
        <v>33</v>
      </c>
      <c r="I1586" s="7" t="n">
        <v>38991</v>
      </c>
      <c r="J1586" s="6" t="s">
        <v>19</v>
      </c>
      <c r="K1586" s="6" t="s">
        <v>20</v>
      </c>
    </row>
    <row r="1587" customFormat="false" ht="12.8" hidden="false" customHeight="false" outlineLevel="0" collapsed="false">
      <c r="A1587" s="8" t="str">
        <f aca="false">HYPERLINK("https://www.fabsurplus.com/sdi_catalog/salesItemDetails.do?id=97936")</f>
        <v>https://www.fabsurplus.com/sdi_catalog/salesItemDetails.do?id=97936</v>
      </c>
      <c r="B1587" s="8" t="s">
        <v>3801</v>
      </c>
      <c r="C1587" s="8" t="s">
        <v>3802</v>
      </c>
      <c r="D1587" s="8" t="s">
        <v>3803</v>
      </c>
      <c r="E1587" s="8" t="s">
        <v>3804</v>
      </c>
      <c r="F1587" s="8" t="s">
        <v>16</v>
      </c>
      <c r="G1587" s="8"/>
      <c r="H1587" s="8"/>
      <c r="I1587" s="8"/>
      <c r="J1587" s="8" t="s">
        <v>81</v>
      </c>
      <c r="K1587" s="8"/>
    </row>
    <row r="1588" customFormat="false" ht="12.8" hidden="false" customHeight="false" outlineLevel="0" collapsed="false">
      <c r="A1588" s="6" t="str">
        <f aca="false">HYPERLINK("https://www.fabsurplus.com/sdi_catalog/salesItemDetails.do?id=97937")</f>
        <v>https://www.fabsurplus.com/sdi_catalog/salesItemDetails.do?id=97937</v>
      </c>
      <c r="B1588" s="6" t="s">
        <v>3805</v>
      </c>
      <c r="C1588" s="6" t="s">
        <v>3802</v>
      </c>
      <c r="D1588" s="6" t="s">
        <v>3806</v>
      </c>
      <c r="E1588" s="6" t="s">
        <v>3804</v>
      </c>
      <c r="F1588" s="6" t="s">
        <v>2743</v>
      </c>
      <c r="G1588" s="6"/>
      <c r="H1588" s="6"/>
      <c r="I1588" s="6"/>
      <c r="J1588" s="6" t="s">
        <v>81</v>
      </c>
      <c r="K1588" s="6"/>
    </row>
    <row r="1589" customFormat="false" ht="12.8" hidden="false" customHeight="false" outlineLevel="0" collapsed="false">
      <c r="A1589" s="8" t="str">
        <f aca="false">HYPERLINK("https://www.fabsurplus.com/sdi_catalog/salesItemDetails.do?id=97160")</f>
        <v>https://www.fabsurplus.com/sdi_catalog/salesItemDetails.do?id=97160</v>
      </c>
      <c r="B1589" s="8" t="s">
        <v>3807</v>
      </c>
      <c r="C1589" s="8" t="s">
        <v>3808</v>
      </c>
      <c r="D1589" s="8" t="s">
        <v>3809</v>
      </c>
      <c r="E1589" s="8" t="s">
        <v>2980</v>
      </c>
      <c r="F1589" s="8" t="s">
        <v>16</v>
      </c>
      <c r="G1589" s="8" t="s">
        <v>2997</v>
      </c>
      <c r="H1589" s="8"/>
      <c r="I1589" s="9" t="n">
        <v>42522</v>
      </c>
      <c r="J1589" s="8"/>
      <c r="K1589" s="8"/>
    </row>
    <row r="1590" customFormat="false" ht="12.8" hidden="false" customHeight="false" outlineLevel="0" collapsed="false">
      <c r="A1590" s="8" t="str">
        <f aca="false">HYPERLINK("https://www.fabsurplus.com/sdi_catalog/salesItemDetails.do?id=97152")</f>
        <v>https://www.fabsurplus.com/sdi_catalog/salesItemDetails.do?id=97152</v>
      </c>
      <c r="B1590" s="8" t="s">
        <v>3810</v>
      </c>
      <c r="C1590" s="8" t="s">
        <v>3811</v>
      </c>
      <c r="D1590" s="8" t="s">
        <v>3812</v>
      </c>
      <c r="E1590" s="8" t="s">
        <v>2980</v>
      </c>
      <c r="F1590" s="8" t="s">
        <v>16</v>
      </c>
      <c r="G1590" s="8" t="s">
        <v>2997</v>
      </c>
      <c r="H1590" s="8"/>
      <c r="I1590" s="9" t="n">
        <v>39600</v>
      </c>
      <c r="J1590" s="8"/>
      <c r="K1590" s="8"/>
    </row>
    <row r="1591" customFormat="false" ht="12.8" hidden="false" customHeight="false" outlineLevel="0" collapsed="false">
      <c r="A1591" s="6" t="str">
        <f aca="false">HYPERLINK("https://www.fabsurplus.com/sdi_catalog/salesItemDetails.do?id=99964")</f>
        <v>https://www.fabsurplus.com/sdi_catalog/salesItemDetails.do?id=99964</v>
      </c>
      <c r="B1591" s="6" t="s">
        <v>3813</v>
      </c>
      <c r="C1591" s="6" t="s">
        <v>3808</v>
      </c>
      <c r="D1591" s="6" t="s">
        <v>3814</v>
      </c>
      <c r="E1591" s="6" t="s">
        <v>2980</v>
      </c>
      <c r="F1591" s="6" t="s">
        <v>16</v>
      </c>
      <c r="G1591" s="6" t="s">
        <v>2997</v>
      </c>
      <c r="H1591" s="6" t="s">
        <v>18</v>
      </c>
      <c r="I1591" s="7" t="n">
        <v>36312</v>
      </c>
      <c r="J1591" s="6" t="s">
        <v>19</v>
      </c>
      <c r="K1591" s="6"/>
    </row>
    <row r="1592" customFormat="false" ht="12.8" hidden="false" customHeight="false" outlineLevel="0" collapsed="false">
      <c r="A1592" s="8" t="str">
        <f aca="false">HYPERLINK("https://www.fabsurplus.com/sdi_catalog/salesItemDetails.do?id=99963")</f>
        <v>https://www.fabsurplus.com/sdi_catalog/salesItemDetails.do?id=99963</v>
      </c>
      <c r="B1592" s="8" t="s">
        <v>3815</v>
      </c>
      <c r="C1592" s="8" t="s">
        <v>3808</v>
      </c>
      <c r="D1592" s="8" t="s">
        <v>3816</v>
      </c>
      <c r="E1592" s="8" t="s">
        <v>2980</v>
      </c>
      <c r="F1592" s="8" t="s">
        <v>16</v>
      </c>
      <c r="G1592" s="8" t="s">
        <v>2997</v>
      </c>
      <c r="H1592" s="8" t="s">
        <v>18</v>
      </c>
      <c r="I1592" s="9" t="n">
        <v>36678</v>
      </c>
      <c r="J1592" s="8" t="s">
        <v>19</v>
      </c>
      <c r="K1592" s="8" t="s">
        <v>20</v>
      </c>
    </row>
    <row r="1593" customFormat="false" ht="12.8" hidden="false" customHeight="false" outlineLevel="0" collapsed="false">
      <c r="A1593" s="6" t="str">
        <f aca="false">HYPERLINK("https://www.fabsurplus.com/sdi_catalog/salesItemDetails.do?id=99881")</f>
        <v>https://www.fabsurplus.com/sdi_catalog/salesItemDetails.do?id=99881</v>
      </c>
      <c r="B1593" s="6" t="s">
        <v>3817</v>
      </c>
      <c r="C1593" s="6" t="s">
        <v>3808</v>
      </c>
      <c r="D1593" s="6" t="s">
        <v>3818</v>
      </c>
      <c r="E1593" s="6" t="s">
        <v>2980</v>
      </c>
      <c r="F1593" s="6" t="s">
        <v>16</v>
      </c>
      <c r="G1593" s="6" t="s">
        <v>2997</v>
      </c>
      <c r="H1593" s="6" t="s">
        <v>33</v>
      </c>
      <c r="I1593" s="7" t="n">
        <v>39600</v>
      </c>
      <c r="J1593" s="6" t="s">
        <v>19</v>
      </c>
      <c r="K1593" s="6" t="s">
        <v>20</v>
      </c>
    </row>
    <row r="1594" customFormat="false" ht="12.8" hidden="false" customHeight="false" outlineLevel="0" collapsed="false">
      <c r="A1594" s="6" t="str">
        <f aca="false">HYPERLINK("https://www.fabsurplus.com/sdi_catalog/salesItemDetails.do?id=98543")</f>
        <v>https://www.fabsurplus.com/sdi_catalog/salesItemDetails.do?id=98543</v>
      </c>
      <c r="B1594" s="6" t="s">
        <v>3819</v>
      </c>
      <c r="C1594" s="6" t="s">
        <v>3808</v>
      </c>
      <c r="D1594" s="6" t="s">
        <v>3820</v>
      </c>
      <c r="E1594" s="6" t="s">
        <v>2980</v>
      </c>
      <c r="F1594" s="6" t="s">
        <v>16</v>
      </c>
      <c r="G1594" s="6"/>
      <c r="H1594" s="6"/>
      <c r="I1594" s="7" t="n">
        <v>36312</v>
      </c>
      <c r="J1594" s="6" t="s">
        <v>19</v>
      </c>
      <c r="K1594" s="6"/>
    </row>
    <row r="1595" customFormat="false" ht="12.8" hidden="false" customHeight="false" outlineLevel="0" collapsed="false">
      <c r="A1595" s="6" t="str">
        <f aca="false">HYPERLINK("https://www.fabsurplus.com/sdi_catalog/salesItemDetails.do?id=97153")</f>
        <v>https://www.fabsurplus.com/sdi_catalog/salesItemDetails.do?id=97153</v>
      </c>
      <c r="B1595" s="6" t="s">
        <v>3821</v>
      </c>
      <c r="C1595" s="6" t="s">
        <v>3822</v>
      </c>
      <c r="D1595" s="6" t="s">
        <v>3823</v>
      </c>
      <c r="E1595" s="6" t="s">
        <v>2980</v>
      </c>
      <c r="F1595" s="6" t="s">
        <v>16</v>
      </c>
      <c r="G1595" s="6" t="s">
        <v>2997</v>
      </c>
      <c r="H1595" s="6" t="s">
        <v>33</v>
      </c>
      <c r="I1595" s="7" t="n">
        <v>42522</v>
      </c>
      <c r="J1595" s="6" t="s">
        <v>19</v>
      </c>
      <c r="K1595" s="6"/>
    </row>
    <row r="1596" customFormat="false" ht="12.8" hidden="false" customHeight="false" outlineLevel="0" collapsed="false">
      <c r="A1596" s="8" t="str">
        <f aca="false">HYPERLINK("https://www.fabsurplus.com/sdi_catalog/salesItemDetails.do?id=97154")</f>
        <v>https://www.fabsurplus.com/sdi_catalog/salesItemDetails.do?id=97154</v>
      </c>
      <c r="B1596" s="8" t="s">
        <v>3824</v>
      </c>
      <c r="C1596" s="8" t="s">
        <v>3822</v>
      </c>
      <c r="D1596" s="8" t="s">
        <v>3825</v>
      </c>
      <c r="E1596" s="8" t="s">
        <v>2980</v>
      </c>
      <c r="F1596" s="8" t="s">
        <v>16</v>
      </c>
      <c r="G1596" s="8" t="s">
        <v>2997</v>
      </c>
      <c r="H1596" s="8"/>
      <c r="I1596" s="9" t="n">
        <v>40695</v>
      </c>
      <c r="J1596" s="8"/>
      <c r="K1596" s="8"/>
    </row>
    <row r="1597" customFormat="false" ht="12.8" hidden="false" customHeight="false" outlineLevel="0" collapsed="false">
      <c r="A1597" s="6" t="str">
        <f aca="false">HYPERLINK("https://www.fabsurplus.com/sdi_catalog/salesItemDetails.do?id=97155")</f>
        <v>https://www.fabsurplus.com/sdi_catalog/salesItemDetails.do?id=97155</v>
      </c>
      <c r="B1597" s="6" t="s">
        <v>3826</v>
      </c>
      <c r="C1597" s="6" t="s">
        <v>3822</v>
      </c>
      <c r="D1597" s="6" t="s">
        <v>3827</v>
      </c>
      <c r="E1597" s="6" t="s">
        <v>2980</v>
      </c>
      <c r="F1597" s="6" t="s">
        <v>16</v>
      </c>
      <c r="G1597" s="6" t="s">
        <v>2997</v>
      </c>
      <c r="H1597" s="6"/>
      <c r="I1597" s="7" t="n">
        <v>37408</v>
      </c>
      <c r="J1597" s="6"/>
      <c r="K1597" s="6"/>
    </row>
    <row r="1598" customFormat="false" ht="12.8" hidden="false" customHeight="false" outlineLevel="0" collapsed="false">
      <c r="A1598" s="8" t="str">
        <f aca="false">HYPERLINK("https://www.fabsurplus.com/sdi_catalog/salesItemDetails.do?id=97156")</f>
        <v>https://www.fabsurplus.com/sdi_catalog/salesItemDetails.do?id=97156</v>
      </c>
      <c r="B1598" s="8" t="s">
        <v>3828</v>
      </c>
      <c r="C1598" s="8" t="s">
        <v>3822</v>
      </c>
      <c r="D1598" s="8" t="s">
        <v>3829</v>
      </c>
      <c r="E1598" s="8" t="s">
        <v>2980</v>
      </c>
      <c r="F1598" s="8" t="s">
        <v>16</v>
      </c>
      <c r="G1598" s="8" t="s">
        <v>2997</v>
      </c>
      <c r="H1598" s="8"/>
      <c r="I1598" s="9" t="n">
        <v>35947</v>
      </c>
      <c r="J1598" s="8"/>
      <c r="K1598" s="8"/>
    </row>
    <row r="1599" customFormat="false" ht="12.8" hidden="false" customHeight="false" outlineLevel="0" collapsed="false">
      <c r="A1599" s="6" t="str">
        <f aca="false">HYPERLINK("https://www.fabsurplus.com/sdi_catalog/salesItemDetails.do?id=97157")</f>
        <v>https://www.fabsurplus.com/sdi_catalog/salesItemDetails.do?id=97157</v>
      </c>
      <c r="B1599" s="6" t="s">
        <v>3830</v>
      </c>
      <c r="C1599" s="6" t="s">
        <v>3822</v>
      </c>
      <c r="D1599" s="6" t="s">
        <v>3831</v>
      </c>
      <c r="E1599" s="6" t="s">
        <v>2980</v>
      </c>
      <c r="F1599" s="6" t="s">
        <v>16</v>
      </c>
      <c r="G1599" s="6" t="s">
        <v>2997</v>
      </c>
      <c r="H1599" s="6"/>
      <c r="I1599" s="7" t="n">
        <v>35947</v>
      </c>
      <c r="J1599" s="6"/>
      <c r="K1599" s="6"/>
    </row>
    <row r="1600" customFormat="false" ht="12.8" hidden="false" customHeight="false" outlineLevel="0" collapsed="false">
      <c r="A1600" s="8" t="str">
        <f aca="false">HYPERLINK("https://www.fabsurplus.com/sdi_catalog/salesItemDetails.do?id=97158")</f>
        <v>https://www.fabsurplus.com/sdi_catalog/salesItemDetails.do?id=97158</v>
      </c>
      <c r="B1600" s="8" t="s">
        <v>3832</v>
      </c>
      <c r="C1600" s="8" t="s">
        <v>3822</v>
      </c>
      <c r="D1600" s="8" t="s">
        <v>3833</v>
      </c>
      <c r="E1600" s="8" t="s">
        <v>2980</v>
      </c>
      <c r="F1600" s="8" t="s">
        <v>16</v>
      </c>
      <c r="G1600" s="8" t="s">
        <v>2997</v>
      </c>
      <c r="H1600" s="8"/>
      <c r="I1600" s="9" t="n">
        <v>40330</v>
      </c>
      <c r="J1600" s="8"/>
      <c r="K1600" s="8"/>
    </row>
    <row r="1601" customFormat="false" ht="12.8" hidden="false" customHeight="false" outlineLevel="0" collapsed="false">
      <c r="A1601" s="6" t="str">
        <f aca="false">HYPERLINK("https://www.fabsurplus.com/sdi_catalog/salesItemDetails.do?id=97159")</f>
        <v>https://www.fabsurplus.com/sdi_catalog/salesItemDetails.do?id=97159</v>
      </c>
      <c r="B1601" s="6" t="s">
        <v>3834</v>
      </c>
      <c r="C1601" s="6" t="s">
        <v>3822</v>
      </c>
      <c r="D1601" s="6" t="s">
        <v>3835</v>
      </c>
      <c r="E1601" s="6" t="s">
        <v>2980</v>
      </c>
      <c r="F1601" s="6" t="s">
        <v>16</v>
      </c>
      <c r="G1601" s="6" t="s">
        <v>2997</v>
      </c>
      <c r="H1601" s="6"/>
      <c r="I1601" s="7" t="n">
        <v>38869</v>
      </c>
      <c r="J1601" s="6"/>
      <c r="K1601" s="6"/>
    </row>
    <row r="1602" customFormat="false" ht="12.8" hidden="false" customHeight="false" outlineLevel="0" collapsed="false">
      <c r="A1602" s="8" t="str">
        <f aca="false">HYPERLINK("https://www.fabsurplus.com/sdi_catalog/salesItemDetails.do?id=100036")</f>
        <v>https://www.fabsurplus.com/sdi_catalog/salesItemDetails.do?id=100036</v>
      </c>
      <c r="B1602" s="8" t="s">
        <v>3836</v>
      </c>
      <c r="C1602" s="8" t="s">
        <v>3837</v>
      </c>
      <c r="D1602" s="8" t="s">
        <v>3838</v>
      </c>
      <c r="E1602" s="8" t="s">
        <v>2776</v>
      </c>
      <c r="F1602" s="8" t="s">
        <v>16</v>
      </c>
      <c r="G1602" s="8"/>
      <c r="H1602" s="8"/>
      <c r="I1602" s="8"/>
      <c r="J1602" s="8" t="s">
        <v>19</v>
      </c>
      <c r="K1602" s="8"/>
    </row>
    <row r="1603" customFormat="false" ht="12.8" hidden="false" customHeight="false" outlineLevel="0" collapsed="false">
      <c r="A1603" s="6" t="str">
        <f aca="false">HYPERLINK("https://www.fabsurplus.com/sdi_catalog/salesItemDetails.do?id=100035")</f>
        <v>https://www.fabsurplus.com/sdi_catalog/salesItemDetails.do?id=100035</v>
      </c>
      <c r="B1603" s="6" t="s">
        <v>3839</v>
      </c>
      <c r="C1603" s="6" t="s">
        <v>3837</v>
      </c>
      <c r="D1603" s="6" t="s">
        <v>3838</v>
      </c>
      <c r="E1603" s="6" t="s">
        <v>2776</v>
      </c>
      <c r="F1603" s="6" t="s">
        <v>16</v>
      </c>
      <c r="G1603" s="6"/>
      <c r="H1603" s="6"/>
      <c r="I1603" s="6"/>
      <c r="J1603" s="6" t="s">
        <v>19</v>
      </c>
      <c r="K1603" s="6"/>
    </row>
    <row r="1604" customFormat="false" ht="12.8" hidden="false" customHeight="false" outlineLevel="0" collapsed="false">
      <c r="A1604" s="8" t="str">
        <f aca="false">HYPERLINK("https://www.fabsurplus.com/sdi_catalog/salesItemDetails.do?id=100034")</f>
        <v>https://www.fabsurplus.com/sdi_catalog/salesItemDetails.do?id=100034</v>
      </c>
      <c r="B1604" s="8" t="s">
        <v>3840</v>
      </c>
      <c r="C1604" s="8" t="s">
        <v>3837</v>
      </c>
      <c r="D1604" s="8" t="s">
        <v>3838</v>
      </c>
      <c r="E1604" s="8" t="s">
        <v>2776</v>
      </c>
      <c r="F1604" s="8" t="s">
        <v>16</v>
      </c>
      <c r="G1604" s="8"/>
      <c r="H1604" s="8"/>
      <c r="I1604" s="8"/>
      <c r="J1604" s="8" t="s">
        <v>19</v>
      </c>
      <c r="K1604" s="8"/>
    </row>
    <row r="1605" customFormat="false" ht="12.8" hidden="false" customHeight="false" outlineLevel="0" collapsed="false">
      <c r="A1605" s="6" t="str">
        <f aca="false">HYPERLINK("https://www.fabsurplus.com/sdi_catalog/salesItemDetails.do?id=97865")</f>
        <v>https://www.fabsurplus.com/sdi_catalog/salesItemDetails.do?id=97865</v>
      </c>
      <c r="B1605" s="6" t="s">
        <v>3841</v>
      </c>
      <c r="C1605" s="6" t="s">
        <v>3842</v>
      </c>
      <c r="D1605" s="6" t="s">
        <v>3843</v>
      </c>
      <c r="E1605" s="6" t="s">
        <v>3844</v>
      </c>
      <c r="F1605" s="6" t="s">
        <v>16</v>
      </c>
      <c r="G1605" s="6"/>
      <c r="H1605" s="6"/>
      <c r="I1605" s="6"/>
      <c r="J1605" s="6" t="s">
        <v>19</v>
      </c>
      <c r="K1605" s="6"/>
    </row>
    <row r="1606" customFormat="false" ht="12.8" hidden="false" customHeight="false" outlineLevel="0" collapsed="false">
      <c r="A1606" s="8" t="str">
        <f aca="false">HYPERLINK("https://www.fabsurplus.com/sdi_catalog/salesItemDetails.do?id=100359")</f>
        <v>https://www.fabsurplus.com/sdi_catalog/salesItemDetails.do?id=100359</v>
      </c>
      <c r="B1606" s="8" t="s">
        <v>3845</v>
      </c>
      <c r="C1606" s="8" t="s">
        <v>3846</v>
      </c>
      <c r="D1606" s="8" t="s">
        <v>3847</v>
      </c>
      <c r="E1606" s="8" t="s">
        <v>3848</v>
      </c>
      <c r="F1606" s="8" t="s">
        <v>611</v>
      </c>
      <c r="G1606" s="8"/>
      <c r="H1606" s="8" t="s">
        <v>2094</v>
      </c>
      <c r="I1606" s="9" t="n">
        <v>40695</v>
      </c>
      <c r="J1606" s="8" t="s">
        <v>19</v>
      </c>
      <c r="K1606" s="8"/>
    </row>
    <row r="1607" customFormat="false" ht="12.8" hidden="false" customHeight="false" outlineLevel="0" collapsed="false">
      <c r="A1607" s="8" t="str">
        <f aca="false">HYPERLINK("https://www.fabsurplus.com/sdi_catalog/salesItemDetails.do?id=99916")</f>
        <v>https://www.fabsurplus.com/sdi_catalog/salesItemDetails.do?id=99916</v>
      </c>
      <c r="B1607" s="8" t="s">
        <v>3849</v>
      </c>
      <c r="C1607" s="8" t="s">
        <v>3850</v>
      </c>
      <c r="D1607" s="8" t="s">
        <v>3851</v>
      </c>
      <c r="E1607" s="8" t="s">
        <v>1518</v>
      </c>
      <c r="F1607" s="8" t="s">
        <v>16</v>
      </c>
      <c r="G1607" s="8" t="s">
        <v>310</v>
      </c>
      <c r="H1607" s="8"/>
      <c r="I1607" s="8"/>
      <c r="J1607" s="8" t="s">
        <v>19</v>
      </c>
      <c r="K1607" s="8"/>
    </row>
    <row r="1608" customFormat="false" ht="12.8" hidden="false" customHeight="false" outlineLevel="0" collapsed="false">
      <c r="A1608" s="8" t="str">
        <f aca="false">HYPERLINK("https://www.fabsurplus.com/sdi_catalog/salesItemDetails.do?id=100205")</f>
        <v>https://www.fabsurplus.com/sdi_catalog/salesItemDetails.do?id=100205</v>
      </c>
      <c r="B1608" s="8" t="s">
        <v>3852</v>
      </c>
      <c r="C1608" s="8" t="s">
        <v>3850</v>
      </c>
      <c r="D1608" s="8" t="s">
        <v>3853</v>
      </c>
      <c r="E1608" s="8" t="s">
        <v>874</v>
      </c>
      <c r="F1608" s="8" t="s">
        <v>16</v>
      </c>
      <c r="G1608" s="8" t="s">
        <v>686</v>
      </c>
      <c r="H1608" s="8"/>
      <c r="I1608" s="8"/>
      <c r="J1608" s="8" t="s">
        <v>19</v>
      </c>
      <c r="K1608" s="8"/>
    </row>
    <row r="1609" customFormat="false" ht="12.8" hidden="false" customHeight="false" outlineLevel="0" collapsed="false">
      <c r="A1609" s="6" t="str">
        <f aca="false">HYPERLINK("https://www.fabsurplus.com/sdi_catalog/salesItemDetails.do?id=100204")</f>
        <v>https://www.fabsurplus.com/sdi_catalog/salesItemDetails.do?id=100204</v>
      </c>
      <c r="B1609" s="6" t="s">
        <v>3854</v>
      </c>
      <c r="C1609" s="6" t="s">
        <v>3850</v>
      </c>
      <c r="D1609" s="6" t="s">
        <v>3853</v>
      </c>
      <c r="E1609" s="6" t="s">
        <v>874</v>
      </c>
      <c r="F1609" s="6" t="s">
        <v>16</v>
      </c>
      <c r="G1609" s="6" t="s">
        <v>686</v>
      </c>
      <c r="H1609" s="6"/>
      <c r="I1609" s="7" t="n">
        <v>38869</v>
      </c>
      <c r="J1609" s="6" t="s">
        <v>19</v>
      </c>
      <c r="K1609" s="6"/>
    </row>
    <row r="1610" customFormat="false" ht="12.8" hidden="false" customHeight="false" outlineLevel="0" collapsed="false">
      <c r="A1610" s="8" t="str">
        <f aca="false">HYPERLINK("https://www.fabsurplus.com/sdi_catalog/salesItemDetails.do?id=99186")</f>
        <v>https://www.fabsurplus.com/sdi_catalog/salesItemDetails.do?id=99186</v>
      </c>
      <c r="B1610" s="8" t="s">
        <v>3855</v>
      </c>
      <c r="C1610" s="8" t="s">
        <v>3850</v>
      </c>
      <c r="D1610" s="8" t="s">
        <v>3853</v>
      </c>
      <c r="E1610" s="8" t="s">
        <v>3856</v>
      </c>
      <c r="F1610" s="8" t="s">
        <v>16</v>
      </c>
      <c r="G1610" s="8" t="s">
        <v>310</v>
      </c>
      <c r="H1610" s="8" t="s">
        <v>33</v>
      </c>
      <c r="I1610" s="8"/>
      <c r="J1610" s="8" t="s">
        <v>19</v>
      </c>
      <c r="K1610" s="8" t="s">
        <v>20</v>
      </c>
    </row>
    <row r="1611" customFormat="false" ht="12.8" hidden="false" customHeight="false" outlineLevel="0" collapsed="false">
      <c r="A1611" s="6" t="str">
        <f aca="false">HYPERLINK("https://www.fabsurplus.com/sdi_catalog/salesItemDetails.do?id=99184")</f>
        <v>https://www.fabsurplus.com/sdi_catalog/salesItemDetails.do?id=99184</v>
      </c>
      <c r="B1611" s="6" t="s">
        <v>3857</v>
      </c>
      <c r="C1611" s="6" t="s">
        <v>3850</v>
      </c>
      <c r="D1611" s="6" t="s">
        <v>3858</v>
      </c>
      <c r="E1611" s="6" t="s">
        <v>3856</v>
      </c>
      <c r="F1611" s="6" t="s">
        <v>16</v>
      </c>
      <c r="G1611" s="6" t="s">
        <v>310</v>
      </c>
      <c r="H1611" s="6" t="s">
        <v>18</v>
      </c>
      <c r="I1611" s="7" t="n">
        <v>40330</v>
      </c>
      <c r="J1611" s="6" t="s">
        <v>19</v>
      </c>
      <c r="K1611" s="6" t="s">
        <v>20</v>
      </c>
    </row>
    <row r="1612" customFormat="false" ht="12.8" hidden="false" customHeight="false" outlineLevel="0" collapsed="false">
      <c r="A1612" s="8" t="str">
        <f aca="false">HYPERLINK("https://www.fabsurplus.com/sdi_catalog/salesItemDetails.do?id=97681")</f>
        <v>https://www.fabsurplus.com/sdi_catalog/salesItemDetails.do?id=97681</v>
      </c>
      <c r="B1612" s="8" t="s">
        <v>3859</v>
      </c>
      <c r="C1612" s="8" t="s">
        <v>3850</v>
      </c>
      <c r="D1612" s="8" t="s">
        <v>3860</v>
      </c>
      <c r="E1612" s="8" t="s">
        <v>3861</v>
      </c>
      <c r="F1612" s="8" t="s">
        <v>16</v>
      </c>
      <c r="G1612" s="8" t="s">
        <v>310</v>
      </c>
      <c r="H1612" s="8" t="s">
        <v>18</v>
      </c>
      <c r="I1612" s="9" t="n">
        <v>40330</v>
      </c>
      <c r="J1612" s="8" t="s">
        <v>19</v>
      </c>
      <c r="K1612" s="8" t="s">
        <v>20</v>
      </c>
    </row>
    <row r="1613" customFormat="false" ht="12.8" hidden="false" customHeight="false" outlineLevel="0" collapsed="false">
      <c r="A1613" s="8" t="str">
        <f aca="false">HYPERLINK("https://www.fabsurplus.com/sdi_catalog/salesItemDetails.do?id=97680")</f>
        <v>https://www.fabsurplus.com/sdi_catalog/salesItemDetails.do?id=97680</v>
      </c>
      <c r="B1613" s="8" t="s">
        <v>3862</v>
      </c>
      <c r="C1613" s="8" t="s">
        <v>3850</v>
      </c>
      <c r="D1613" s="8" t="s">
        <v>3860</v>
      </c>
      <c r="E1613" s="8" t="s">
        <v>3861</v>
      </c>
      <c r="F1613" s="8" t="s">
        <v>16</v>
      </c>
      <c r="G1613" s="8" t="s">
        <v>310</v>
      </c>
      <c r="H1613" s="8" t="s">
        <v>33</v>
      </c>
      <c r="I1613" s="9" t="n">
        <v>43983</v>
      </c>
      <c r="J1613" s="8" t="s">
        <v>19</v>
      </c>
      <c r="K1613" s="8" t="s">
        <v>20</v>
      </c>
    </row>
    <row r="1614" customFormat="false" ht="12.8" hidden="false" customHeight="false" outlineLevel="0" collapsed="false">
      <c r="A1614" s="8" t="str">
        <f aca="false">HYPERLINK("https://www.fabsurplus.com/sdi_catalog/salesItemDetails.do?id=97679")</f>
        <v>https://www.fabsurplus.com/sdi_catalog/salesItemDetails.do?id=97679</v>
      </c>
      <c r="B1614" s="8" t="s">
        <v>3863</v>
      </c>
      <c r="C1614" s="8" t="s">
        <v>3850</v>
      </c>
      <c r="D1614" s="8" t="s">
        <v>3860</v>
      </c>
      <c r="E1614" s="8" t="s">
        <v>3861</v>
      </c>
      <c r="F1614" s="8" t="s">
        <v>16</v>
      </c>
      <c r="G1614" s="8" t="s">
        <v>310</v>
      </c>
      <c r="H1614" s="8" t="s">
        <v>33</v>
      </c>
      <c r="I1614" s="9" t="n">
        <v>41426</v>
      </c>
      <c r="J1614" s="8" t="s">
        <v>19</v>
      </c>
      <c r="K1614" s="8" t="s">
        <v>20</v>
      </c>
    </row>
    <row r="1615" customFormat="false" ht="12.8" hidden="false" customHeight="false" outlineLevel="0" collapsed="false">
      <c r="A1615" s="6" t="str">
        <f aca="false">HYPERLINK("https://www.fabsurplus.com/sdi_catalog/salesItemDetails.do?id=97678")</f>
        <v>https://www.fabsurplus.com/sdi_catalog/salesItemDetails.do?id=97678</v>
      </c>
      <c r="B1615" s="6" t="s">
        <v>3864</v>
      </c>
      <c r="C1615" s="6" t="s">
        <v>3850</v>
      </c>
      <c r="D1615" s="6" t="s">
        <v>3860</v>
      </c>
      <c r="E1615" s="6" t="s">
        <v>3861</v>
      </c>
      <c r="F1615" s="6" t="s">
        <v>16</v>
      </c>
      <c r="G1615" s="6" t="s">
        <v>310</v>
      </c>
      <c r="H1615" s="6" t="s">
        <v>33</v>
      </c>
      <c r="I1615" s="7" t="n">
        <v>40330</v>
      </c>
      <c r="J1615" s="6" t="s">
        <v>19</v>
      </c>
      <c r="K1615" s="6" t="s">
        <v>20</v>
      </c>
    </row>
    <row r="1616" customFormat="false" ht="12.8" hidden="false" customHeight="false" outlineLevel="0" collapsed="false">
      <c r="A1616" s="8" t="str">
        <f aca="false">HYPERLINK("https://www.fabsurplus.com/sdi_catalog/salesItemDetails.do?id=97677")</f>
        <v>https://www.fabsurplus.com/sdi_catalog/salesItemDetails.do?id=97677</v>
      </c>
      <c r="B1616" s="8" t="s">
        <v>3865</v>
      </c>
      <c r="C1616" s="8" t="s">
        <v>3850</v>
      </c>
      <c r="D1616" s="8" t="s">
        <v>3860</v>
      </c>
      <c r="E1616" s="8" t="s">
        <v>3861</v>
      </c>
      <c r="F1616" s="8" t="s">
        <v>16</v>
      </c>
      <c r="G1616" s="8" t="s">
        <v>310</v>
      </c>
      <c r="H1616" s="8" t="s">
        <v>18</v>
      </c>
      <c r="I1616" s="9" t="n">
        <v>41426</v>
      </c>
      <c r="J1616" s="8" t="s">
        <v>19</v>
      </c>
      <c r="K1616" s="8" t="s">
        <v>20</v>
      </c>
    </row>
    <row r="1617" customFormat="false" ht="12.8" hidden="false" customHeight="false" outlineLevel="0" collapsed="false">
      <c r="A1617" s="6" t="str">
        <f aca="false">HYPERLINK("https://www.fabsurplus.com/sdi_catalog/salesItemDetails.do?id=100207")</f>
        <v>https://www.fabsurplus.com/sdi_catalog/salesItemDetails.do?id=100207</v>
      </c>
      <c r="B1617" s="6" t="s">
        <v>3866</v>
      </c>
      <c r="C1617" s="6" t="s">
        <v>3850</v>
      </c>
      <c r="D1617" s="6" t="s">
        <v>3867</v>
      </c>
      <c r="E1617" s="6" t="s">
        <v>874</v>
      </c>
      <c r="F1617" s="6" t="s">
        <v>16</v>
      </c>
      <c r="G1617" s="6" t="s">
        <v>686</v>
      </c>
      <c r="H1617" s="6"/>
      <c r="I1617" s="6"/>
      <c r="J1617" s="6" t="s">
        <v>19</v>
      </c>
      <c r="K1617" s="6"/>
    </row>
    <row r="1618" customFormat="false" ht="12.8" hidden="false" customHeight="false" outlineLevel="0" collapsed="false">
      <c r="A1618" s="8" t="str">
        <f aca="false">HYPERLINK("https://www.fabsurplus.com/sdi_catalog/salesItemDetails.do?id=100206")</f>
        <v>https://www.fabsurplus.com/sdi_catalog/salesItemDetails.do?id=100206</v>
      </c>
      <c r="B1618" s="8" t="s">
        <v>3868</v>
      </c>
      <c r="C1618" s="8" t="s">
        <v>3850</v>
      </c>
      <c r="D1618" s="8" t="s">
        <v>3867</v>
      </c>
      <c r="E1618" s="8" t="s">
        <v>874</v>
      </c>
      <c r="F1618" s="8" t="s">
        <v>16</v>
      </c>
      <c r="G1618" s="8" t="s">
        <v>686</v>
      </c>
      <c r="H1618" s="8"/>
      <c r="I1618" s="8"/>
      <c r="J1618" s="8" t="s">
        <v>19</v>
      </c>
      <c r="K1618" s="8"/>
    </row>
    <row r="1619" customFormat="false" ht="12.8" hidden="false" customHeight="false" outlineLevel="0" collapsed="false">
      <c r="A1619" s="8" t="str">
        <f aca="false">HYPERLINK("https://www.fabsurplus.com/sdi_catalog/salesItemDetails.do?id=99188")</f>
        <v>https://www.fabsurplus.com/sdi_catalog/salesItemDetails.do?id=99188</v>
      </c>
      <c r="B1619" s="8" t="s">
        <v>3869</v>
      </c>
      <c r="C1619" s="8" t="s">
        <v>3850</v>
      </c>
      <c r="D1619" s="8" t="s">
        <v>3867</v>
      </c>
      <c r="E1619" s="8" t="s">
        <v>3861</v>
      </c>
      <c r="F1619" s="8" t="s">
        <v>16</v>
      </c>
      <c r="G1619" s="8" t="s">
        <v>310</v>
      </c>
      <c r="H1619" s="8" t="s">
        <v>33</v>
      </c>
      <c r="I1619" s="9" t="n">
        <v>38504</v>
      </c>
      <c r="J1619" s="8" t="s">
        <v>19</v>
      </c>
      <c r="K1619" s="8" t="s">
        <v>20</v>
      </c>
    </row>
    <row r="1620" customFormat="false" ht="12.8" hidden="false" customHeight="false" outlineLevel="0" collapsed="false">
      <c r="A1620" s="8" t="str">
        <f aca="false">HYPERLINK("https://www.fabsurplus.com/sdi_catalog/salesItemDetails.do?id=97683")</f>
        <v>https://www.fabsurplus.com/sdi_catalog/salesItemDetails.do?id=97683</v>
      </c>
      <c r="B1620" s="8" t="s">
        <v>3870</v>
      </c>
      <c r="C1620" s="8" t="s">
        <v>3850</v>
      </c>
      <c r="D1620" s="8" t="s">
        <v>3867</v>
      </c>
      <c r="E1620" s="8" t="s">
        <v>3861</v>
      </c>
      <c r="F1620" s="8" t="s">
        <v>16</v>
      </c>
      <c r="G1620" s="8" t="s">
        <v>310</v>
      </c>
      <c r="H1620" s="8" t="s">
        <v>33</v>
      </c>
      <c r="I1620" s="9" t="n">
        <v>41426</v>
      </c>
      <c r="J1620" s="8" t="s">
        <v>19</v>
      </c>
      <c r="K1620" s="8" t="s">
        <v>20</v>
      </c>
    </row>
    <row r="1621" customFormat="false" ht="12.8" hidden="false" customHeight="false" outlineLevel="0" collapsed="false">
      <c r="A1621" s="6" t="str">
        <f aca="false">HYPERLINK("https://www.fabsurplus.com/sdi_catalog/salesItemDetails.do?id=97682")</f>
        <v>https://www.fabsurplus.com/sdi_catalog/salesItemDetails.do?id=97682</v>
      </c>
      <c r="B1621" s="6" t="s">
        <v>3871</v>
      </c>
      <c r="C1621" s="6" t="s">
        <v>3850</v>
      </c>
      <c r="D1621" s="6" t="s">
        <v>3867</v>
      </c>
      <c r="E1621" s="6" t="s">
        <v>3861</v>
      </c>
      <c r="F1621" s="6" t="s">
        <v>16</v>
      </c>
      <c r="G1621" s="6" t="s">
        <v>310</v>
      </c>
      <c r="H1621" s="6" t="s">
        <v>33</v>
      </c>
      <c r="I1621" s="7" t="n">
        <v>41426</v>
      </c>
      <c r="J1621" s="6" t="s">
        <v>19</v>
      </c>
      <c r="K1621" s="6" t="s">
        <v>20</v>
      </c>
    </row>
    <row r="1622" customFormat="false" ht="12.8" hidden="false" customHeight="false" outlineLevel="0" collapsed="false">
      <c r="A1622" s="8" t="str">
        <f aca="false">HYPERLINK("https://www.fabsurplus.com/sdi_catalog/salesItemDetails.do?id=96880")</f>
        <v>https://www.fabsurplus.com/sdi_catalog/salesItemDetails.do?id=96880</v>
      </c>
      <c r="B1622" s="8" t="s">
        <v>3872</v>
      </c>
      <c r="C1622" s="8" t="s">
        <v>3850</v>
      </c>
      <c r="D1622" s="8" t="s">
        <v>3867</v>
      </c>
      <c r="E1622" s="8" t="s">
        <v>3861</v>
      </c>
      <c r="F1622" s="8" t="s">
        <v>16</v>
      </c>
      <c r="G1622" s="8" t="s">
        <v>310</v>
      </c>
      <c r="H1622" s="8" t="s">
        <v>33</v>
      </c>
      <c r="I1622" s="8"/>
      <c r="J1622" s="8" t="s">
        <v>19</v>
      </c>
      <c r="K1622" s="8" t="s">
        <v>20</v>
      </c>
    </row>
    <row r="1623" customFormat="false" ht="12.8" hidden="false" customHeight="false" outlineLevel="0" collapsed="false">
      <c r="A1623" s="8" t="str">
        <f aca="false">HYPERLINK("https://www.fabsurplus.com/sdi_catalog/salesItemDetails.do?id=98146")</f>
        <v>https://www.fabsurplus.com/sdi_catalog/salesItemDetails.do?id=98146</v>
      </c>
      <c r="B1623" s="8" t="s">
        <v>3873</v>
      </c>
      <c r="C1623" s="8" t="s">
        <v>3874</v>
      </c>
      <c r="D1623" s="8" t="s">
        <v>3875</v>
      </c>
      <c r="E1623" s="8" t="s">
        <v>3876</v>
      </c>
      <c r="F1623" s="8" t="s">
        <v>16</v>
      </c>
      <c r="G1623" s="8" t="s">
        <v>310</v>
      </c>
      <c r="H1623" s="8"/>
      <c r="I1623" s="9" t="n">
        <v>39600</v>
      </c>
      <c r="J1623" s="8" t="s">
        <v>19</v>
      </c>
      <c r="K1623" s="8"/>
    </row>
    <row r="1624" customFormat="false" ht="12.8" hidden="false" customHeight="false" outlineLevel="0" collapsed="false">
      <c r="A1624" s="8" t="str">
        <f aca="false">HYPERLINK("https://www.fabsurplus.com/sdi_catalog/salesItemDetails.do?id=99015")</f>
        <v>https://www.fabsurplus.com/sdi_catalog/salesItemDetails.do?id=99015</v>
      </c>
      <c r="B1624" s="8" t="s">
        <v>3877</v>
      </c>
      <c r="C1624" s="8" t="s">
        <v>3850</v>
      </c>
      <c r="D1624" s="8" t="s">
        <v>3878</v>
      </c>
      <c r="E1624" s="8" t="s">
        <v>874</v>
      </c>
      <c r="F1624" s="8" t="s">
        <v>16</v>
      </c>
      <c r="G1624" s="8"/>
      <c r="H1624" s="8"/>
      <c r="I1624" s="9" t="n">
        <v>41456</v>
      </c>
      <c r="J1624" s="8" t="s">
        <v>19</v>
      </c>
      <c r="K1624" s="8"/>
    </row>
    <row r="1625" customFormat="false" ht="12.8" hidden="false" customHeight="false" outlineLevel="0" collapsed="false">
      <c r="A1625" s="6" t="str">
        <f aca="false">HYPERLINK("https://www.fabsurplus.com/sdi_catalog/salesItemDetails.do?id=99014")</f>
        <v>https://www.fabsurplus.com/sdi_catalog/salesItemDetails.do?id=99014</v>
      </c>
      <c r="B1625" s="6" t="s">
        <v>3879</v>
      </c>
      <c r="C1625" s="6" t="s">
        <v>3850</v>
      </c>
      <c r="D1625" s="6" t="s">
        <v>3878</v>
      </c>
      <c r="E1625" s="6" t="s">
        <v>874</v>
      </c>
      <c r="F1625" s="6" t="s">
        <v>16</v>
      </c>
      <c r="G1625" s="6"/>
      <c r="H1625" s="6"/>
      <c r="I1625" s="7" t="n">
        <v>41183</v>
      </c>
      <c r="J1625" s="6" t="s">
        <v>19</v>
      </c>
      <c r="K1625" s="6"/>
    </row>
    <row r="1626" customFormat="false" ht="12.8" hidden="false" customHeight="false" outlineLevel="0" collapsed="false">
      <c r="A1626" s="6" t="str">
        <f aca="false">HYPERLINK("https://www.fabsurplus.com/sdi_catalog/salesItemDetails.do?id=99013")</f>
        <v>https://www.fabsurplus.com/sdi_catalog/salesItemDetails.do?id=99013</v>
      </c>
      <c r="B1626" s="6" t="s">
        <v>3880</v>
      </c>
      <c r="C1626" s="6" t="s">
        <v>3850</v>
      </c>
      <c r="D1626" s="6" t="s">
        <v>3878</v>
      </c>
      <c r="E1626" s="6" t="s">
        <v>874</v>
      </c>
      <c r="F1626" s="6" t="s">
        <v>16</v>
      </c>
      <c r="G1626" s="6"/>
      <c r="H1626" s="6"/>
      <c r="I1626" s="7" t="n">
        <v>41487</v>
      </c>
      <c r="J1626" s="6" t="s">
        <v>19</v>
      </c>
      <c r="K1626" s="6"/>
    </row>
    <row r="1627" customFormat="false" ht="12.8" hidden="false" customHeight="false" outlineLevel="0" collapsed="false">
      <c r="A1627" s="8" t="str">
        <f aca="false">HYPERLINK("https://www.fabsurplus.com/sdi_catalog/salesItemDetails.do?id=100208")</f>
        <v>https://www.fabsurplus.com/sdi_catalog/salesItemDetails.do?id=100208</v>
      </c>
      <c r="B1627" s="8" t="s">
        <v>3881</v>
      </c>
      <c r="C1627" s="8" t="s">
        <v>3850</v>
      </c>
      <c r="D1627" s="8" t="s">
        <v>3882</v>
      </c>
      <c r="E1627" s="8" t="s">
        <v>1432</v>
      </c>
      <c r="F1627" s="8" t="s">
        <v>16</v>
      </c>
      <c r="G1627" s="8" t="s">
        <v>686</v>
      </c>
      <c r="H1627" s="8"/>
      <c r="I1627" s="8"/>
      <c r="J1627" s="8" t="s">
        <v>19</v>
      </c>
      <c r="K1627" s="8"/>
    </row>
    <row r="1628" customFormat="false" ht="12.8" hidden="false" customHeight="false" outlineLevel="0" collapsed="false">
      <c r="A1628" s="6" t="str">
        <f aca="false">HYPERLINK("https://www.fabsurplus.com/sdi_catalog/salesItemDetails.do?id=98347")</f>
        <v>https://www.fabsurplus.com/sdi_catalog/salesItemDetails.do?id=98347</v>
      </c>
      <c r="B1628" s="6" t="s">
        <v>3883</v>
      </c>
      <c r="C1628" s="6" t="s">
        <v>3850</v>
      </c>
      <c r="D1628" s="6" t="s">
        <v>3884</v>
      </c>
      <c r="E1628" s="6" t="s">
        <v>1515</v>
      </c>
      <c r="F1628" s="6" t="s">
        <v>16</v>
      </c>
      <c r="G1628" s="6" t="s">
        <v>310</v>
      </c>
      <c r="H1628" s="6"/>
      <c r="I1628" s="7" t="n">
        <v>41061</v>
      </c>
      <c r="J1628" s="6" t="s">
        <v>81</v>
      </c>
      <c r="K1628" s="6"/>
    </row>
    <row r="1629" customFormat="false" ht="12.8" hidden="false" customHeight="false" outlineLevel="0" collapsed="false">
      <c r="A1629" s="8" t="str">
        <f aca="false">HYPERLINK("https://www.fabsurplus.com/sdi_catalog/salesItemDetails.do?id=98346")</f>
        <v>https://www.fabsurplus.com/sdi_catalog/salesItemDetails.do?id=98346</v>
      </c>
      <c r="B1629" s="8" t="s">
        <v>3885</v>
      </c>
      <c r="C1629" s="8" t="s">
        <v>3850</v>
      </c>
      <c r="D1629" s="8" t="s">
        <v>3884</v>
      </c>
      <c r="E1629" s="8" t="s">
        <v>1515</v>
      </c>
      <c r="F1629" s="8" t="s">
        <v>16</v>
      </c>
      <c r="G1629" s="8" t="s">
        <v>310</v>
      </c>
      <c r="H1629" s="8"/>
      <c r="I1629" s="9" t="n">
        <v>43252</v>
      </c>
      <c r="J1629" s="8" t="s">
        <v>81</v>
      </c>
      <c r="K1629" s="8"/>
    </row>
    <row r="1630" customFormat="false" ht="12.8" hidden="false" customHeight="false" outlineLevel="0" collapsed="false">
      <c r="A1630" s="8" t="str">
        <f aca="false">HYPERLINK("https://www.fabsurplus.com/sdi_catalog/salesItemDetails.do?id=98824")</f>
        <v>https://www.fabsurplus.com/sdi_catalog/salesItemDetails.do?id=98824</v>
      </c>
      <c r="B1630" s="8" t="s">
        <v>3886</v>
      </c>
      <c r="C1630" s="8" t="s">
        <v>3850</v>
      </c>
      <c r="D1630" s="8" t="s">
        <v>3887</v>
      </c>
      <c r="E1630" s="8" t="s">
        <v>1495</v>
      </c>
      <c r="F1630" s="8" t="s">
        <v>16</v>
      </c>
      <c r="G1630" s="8" t="s">
        <v>310</v>
      </c>
      <c r="H1630" s="8"/>
      <c r="I1630" s="9" t="n">
        <v>37742</v>
      </c>
      <c r="J1630" s="8" t="s">
        <v>19</v>
      </c>
      <c r="K1630" s="8"/>
    </row>
    <row r="1631" customFormat="false" ht="12.8" hidden="false" customHeight="false" outlineLevel="0" collapsed="false">
      <c r="A1631" s="6" t="str">
        <f aca="false">HYPERLINK("https://www.fabsurplus.com/sdi_catalog/salesItemDetails.do?id=97004")</f>
        <v>https://www.fabsurplus.com/sdi_catalog/salesItemDetails.do?id=97004</v>
      </c>
      <c r="B1631" s="6" t="s">
        <v>3888</v>
      </c>
      <c r="C1631" s="6" t="s">
        <v>3889</v>
      </c>
      <c r="D1631" s="6" t="s">
        <v>3890</v>
      </c>
      <c r="E1631" s="6" t="s">
        <v>3891</v>
      </c>
      <c r="F1631" s="6" t="s">
        <v>16</v>
      </c>
      <c r="G1631" s="6" t="s">
        <v>310</v>
      </c>
      <c r="H1631" s="6" t="s">
        <v>167</v>
      </c>
      <c r="I1631" s="7" t="n">
        <v>38869</v>
      </c>
      <c r="J1631" s="6" t="s">
        <v>19</v>
      </c>
      <c r="K1631" s="6" t="s">
        <v>20</v>
      </c>
    </row>
    <row r="1632" customFormat="false" ht="12.8" hidden="false" customHeight="false" outlineLevel="0" collapsed="false">
      <c r="A1632" s="8" t="str">
        <f aca="false">HYPERLINK("https://www.fabsurplus.com/sdi_catalog/salesItemDetails.do?id=98278")</f>
        <v>https://www.fabsurplus.com/sdi_catalog/salesItemDetails.do?id=98278</v>
      </c>
      <c r="B1632" s="8" t="s">
        <v>3892</v>
      </c>
      <c r="C1632" s="8" t="s">
        <v>3850</v>
      </c>
      <c r="D1632" s="8" t="s">
        <v>3893</v>
      </c>
      <c r="E1632" s="8" t="s">
        <v>3894</v>
      </c>
      <c r="F1632" s="8" t="s">
        <v>16</v>
      </c>
      <c r="G1632" s="8" t="s">
        <v>310</v>
      </c>
      <c r="H1632" s="8"/>
      <c r="I1632" s="9" t="n">
        <v>43252</v>
      </c>
      <c r="J1632" s="8" t="s">
        <v>19</v>
      </c>
      <c r="K1632" s="8"/>
    </row>
    <row r="1633" customFormat="false" ht="12.8" hidden="false" customHeight="false" outlineLevel="0" collapsed="false">
      <c r="A1633" s="8" t="str">
        <f aca="false">HYPERLINK("https://www.fabsurplus.com/sdi_catalog/salesItemDetails.do?id=98277")</f>
        <v>https://www.fabsurplus.com/sdi_catalog/salesItemDetails.do?id=98277</v>
      </c>
      <c r="B1633" s="8" t="s">
        <v>3895</v>
      </c>
      <c r="C1633" s="8" t="s">
        <v>3850</v>
      </c>
      <c r="D1633" s="8" t="s">
        <v>3893</v>
      </c>
      <c r="E1633" s="8" t="s">
        <v>3894</v>
      </c>
      <c r="F1633" s="8" t="s">
        <v>16</v>
      </c>
      <c r="G1633" s="8" t="s">
        <v>310</v>
      </c>
      <c r="H1633" s="8"/>
      <c r="I1633" s="9" t="n">
        <v>41061</v>
      </c>
      <c r="J1633" s="8" t="s">
        <v>19</v>
      </c>
      <c r="K1633" s="8"/>
    </row>
    <row r="1634" customFormat="false" ht="12.8" hidden="false" customHeight="false" outlineLevel="0" collapsed="false">
      <c r="A1634" s="8" t="str">
        <f aca="false">HYPERLINK("https://www.fabsurplus.com/sdi_catalog/salesItemDetails.do?id=98276")</f>
        <v>https://www.fabsurplus.com/sdi_catalog/salesItemDetails.do?id=98276</v>
      </c>
      <c r="B1634" s="8" t="s">
        <v>3896</v>
      </c>
      <c r="C1634" s="8" t="s">
        <v>3850</v>
      </c>
      <c r="D1634" s="8" t="s">
        <v>3893</v>
      </c>
      <c r="E1634" s="8" t="s">
        <v>3894</v>
      </c>
      <c r="F1634" s="8" t="s">
        <v>16</v>
      </c>
      <c r="G1634" s="8" t="s">
        <v>310</v>
      </c>
      <c r="H1634" s="8"/>
      <c r="I1634" s="9" t="n">
        <v>43252</v>
      </c>
      <c r="J1634" s="8" t="s">
        <v>19</v>
      </c>
      <c r="K1634" s="8"/>
    </row>
    <row r="1635" customFormat="false" ht="12.8" hidden="false" customHeight="false" outlineLevel="0" collapsed="false">
      <c r="A1635" s="8" t="str">
        <f aca="false">HYPERLINK("https://www.fabsurplus.com/sdi_catalog/salesItemDetails.do?id=97690")</f>
        <v>https://www.fabsurplus.com/sdi_catalog/salesItemDetails.do?id=97690</v>
      </c>
      <c r="B1635" s="8" t="s">
        <v>3897</v>
      </c>
      <c r="C1635" s="8" t="s">
        <v>3850</v>
      </c>
      <c r="D1635" s="8" t="s">
        <v>3898</v>
      </c>
      <c r="E1635" s="8" t="s">
        <v>3899</v>
      </c>
      <c r="F1635" s="8" t="s">
        <v>16</v>
      </c>
      <c r="G1635" s="8" t="s">
        <v>310</v>
      </c>
      <c r="H1635" s="8"/>
      <c r="I1635" s="8"/>
      <c r="J1635" s="8" t="s">
        <v>19</v>
      </c>
      <c r="K1635" s="8"/>
    </row>
    <row r="1636" customFormat="false" ht="12.8" hidden="false" customHeight="false" outlineLevel="0" collapsed="false">
      <c r="A1636" s="6" t="str">
        <f aca="false">HYPERLINK("https://www.fabsurplus.com/sdi_catalog/salesItemDetails.do?id=99917")</f>
        <v>https://www.fabsurplus.com/sdi_catalog/salesItemDetails.do?id=99917</v>
      </c>
      <c r="B1636" s="6" t="s">
        <v>3900</v>
      </c>
      <c r="C1636" s="6" t="s">
        <v>3850</v>
      </c>
      <c r="D1636" s="6" t="s">
        <v>3901</v>
      </c>
      <c r="E1636" s="6" t="s">
        <v>1432</v>
      </c>
      <c r="F1636" s="6" t="s">
        <v>16</v>
      </c>
      <c r="G1636" s="6" t="s">
        <v>310</v>
      </c>
      <c r="H1636" s="6"/>
      <c r="I1636" s="6"/>
      <c r="J1636" s="6" t="s">
        <v>19</v>
      </c>
      <c r="K1636" s="6"/>
    </row>
    <row r="1637" customFormat="false" ht="12.8" hidden="false" customHeight="false" outlineLevel="0" collapsed="false">
      <c r="A1637" s="8" t="str">
        <f aca="false">HYPERLINK("https://www.fabsurplus.com/sdi_catalog/salesItemDetails.do?id=99918")</f>
        <v>https://www.fabsurplus.com/sdi_catalog/salesItemDetails.do?id=99918</v>
      </c>
      <c r="B1637" s="8" t="s">
        <v>3902</v>
      </c>
      <c r="C1637" s="8" t="s">
        <v>3850</v>
      </c>
      <c r="D1637" s="8" t="s">
        <v>3903</v>
      </c>
      <c r="E1637" s="8" t="s">
        <v>874</v>
      </c>
      <c r="F1637" s="8" t="s">
        <v>16</v>
      </c>
      <c r="G1637" s="8" t="s">
        <v>310</v>
      </c>
      <c r="H1637" s="8"/>
      <c r="I1637" s="8"/>
      <c r="J1637" s="8" t="s">
        <v>19</v>
      </c>
      <c r="K1637" s="8"/>
    </row>
    <row r="1638" customFormat="false" ht="12.8" hidden="false" customHeight="false" outlineLevel="0" collapsed="false">
      <c r="A1638" s="8" t="str">
        <f aca="false">HYPERLINK("https://www.fabsurplus.com/sdi_catalog/salesItemDetails.do?id=97231")</f>
        <v>https://www.fabsurplus.com/sdi_catalog/salesItemDetails.do?id=97231</v>
      </c>
      <c r="B1638" s="8" t="s">
        <v>3904</v>
      </c>
      <c r="C1638" s="8" t="s">
        <v>3850</v>
      </c>
      <c r="D1638" s="8" t="s">
        <v>3905</v>
      </c>
      <c r="E1638" s="8" t="s">
        <v>874</v>
      </c>
      <c r="F1638" s="8" t="s">
        <v>16</v>
      </c>
      <c r="G1638" s="8" t="s">
        <v>310</v>
      </c>
      <c r="H1638" s="8"/>
      <c r="I1638" s="9" t="n">
        <v>39569</v>
      </c>
      <c r="J1638" s="8" t="s">
        <v>19</v>
      </c>
      <c r="K1638" s="8"/>
    </row>
    <row r="1639" customFormat="false" ht="12.8" hidden="false" customHeight="false" outlineLevel="0" collapsed="false">
      <c r="A1639" s="8" t="str">
        <f aca="false">HYPERLINK("https://www.fabsurplus.com/sdi_catalog/salesItemDetails.do?id=97230")</f>
        <v>https://www.fabsurplus.com/sdi_catalog/salesItemDetails.do?id=97230</v>
      </c>
      <c r="B1639" s="8" t="s">
        <v>3906</v>
      </c>
      <c r="C1639" s="8" t="s">
        <v>3850</v>
      </c>
      <c r="D1639" s="8" t="s">
        <v>3905</v>
      </c>
      <c r="E1639" s="8" t="s">
        <v>874</v>
      </c>
      <c r="F1639" s="8" t="s">
        <v>16</v>
      </c>
      <c r="G1639" s="8" t="s">
        <v>310</v>
      </c>
      <c r="H1639" s="8"/>
      <c r="I1639" s="9" t="n">
        <v>38443</v>
      </c>
      <c r="J1639" s="8" t="s">
        <v>19</v>
      </c>
      <c r="K1639" s="8"/>
    </row>
    <row r="1640" customFormat="false" ht="12.8" hidden="false" customHeight="false" outlineLevel="0" collapsed="false">
      <c r="A1640" s="8" t="str">
        <f aca="false">HYPERLINK("https://www.fabsurplus.com/sdi_catalog/salesItemDetails.do?id=97229")</f>
        <v>https://www.fabsurplus.com/sdi_catalog/salesItemDetails.do?id=97229</v>
      </c>
      <c r="B1640" s="8" t="s">
        <v>3907</v>
      </c>
      <c r="C1640" s="8" t="s">
        <v>3850</v>
      </c>
      <c r="D1640" s="8" t="s">
        <v>3905</v>
      </c>
      <c r="E1640" s="8" t="s">
        <v>874</v>
      </c>
      <c r="F1640" s="8" t="s">
        <v>16</v>
      </c>
      <c r="G1640" s="8" t="s">
        <v>310</v>
      </c>
      <c r="H1640" s="8"/>
      <c r="I1640" s="9" t="n">
        <v>39326</v>
      </c>
      <c r="J1640" s="8" t="s">
        <v>19</v>
      </c>
      <c r="K1640" s="8"/>
    </row>
    <row r="1641" customFormat="false" ht="12.8" hidden="false" customHeight="false" outlineLevel="0" collapsed="false">
      <c r="A1641" s="8" t="str">
        <f aca="false">HYPERLINK("https://www.fabsurplus.com/sdi_catalog/salesItemDetails.do?id=97228")</f>
        <v>https://www.fabsurplus.com/sdi_catalog/salesItemDetails.do?id=97228</v>
      </c>
      <c r="B1641" s="8" t="s">
        <v>3908</v>
      </c>
      <c r="C1641" s="8" t="s">
        <v>3850</v>
      </c>
      <c r="D1641" s="8" t="s">
        <v>3905</v>
      </c>
      <c r="E1641" s="8" t="s">
        <v>874</v>
      </c>
      <c r="F1641" s="8" t="s">
        <v>16</v>
      </c>
      <c r="G1641" s="8" t="s">
        <v>310</v>
      </c>
      <c r="H1641" s="8"/>
      <c r="I1641" s="9" t="n">
        <v>39264</v>
      </c>
      <c r="J1641" s="8" t="s">
        <v>19</v>
      </c>
      <c r="K1641" s="8"/>
    </row>
    <row r="1642" customFormat="false" ht="12.8" hidden="false" customHeight="false" outlineLevel="0" collapsed="false">
      <c r="A1642" s="8" t="str">
        <f aca="false">HYPERLINK("https://www.fabsurplus.com/sdi_catalog/salesItemDetails.do?id=97227")</f>
        <v>https://www.fabsurplus.com/sdi_catalog/salesItemDetails.do?id=97227</v>
      </c>
      <c r="B1642" s="8" t="s">
        <v>3909</v>
      </c>
      <c r="C1642" s="8" t="s">
        <v>3850</v>
      </c>
      <c r="D1642" s="8" t="s">
        <v>3905</v>
      </c>
      <c r="E1642" s="8" t="s">
        <v>874</v>
      </c>
      <c r="F1642" s="8" t="s">
        <v>16</v>
      </c>
      <c r="G1642" s="8" t="s">
        <v>310</v>
      </c>
      <c r="H1642" s="8"/>
      <c r="I1642" s="9" t="n">
        <v>39722</v>
      </c>
      <c r="J1642" s="8" t="s">
        <v>19</v>
      </c>
      <c r="K1642" s="8"/>
    </row>
    <row r="1643" customFormat="false" ht="12.8" hidden="false" customHeight="false" outlineLevel="0" collapsed="false">
      <c r="A1643" s="6" t="str">
        <f aca="false">HYPERLINK("https://www.fabsurplus.com/sdi_catalog/salesItemDetails.do?id=97236")</f>
        <v>https://www.fabsurplus.com/sdi_catalog/salesItemDetails.do?id=97236</v>
      </c>
      <c r="B1643" s="6" t="s">
        <v>3910</v>
      </c>
      <c r="C1643" s="6" t="s">
        <v>3850</v>
      </c>
      <c r="D1643" s="6" t="s">
        <v>3911</v>
      </c>
      <c r="E1643" s="6" t="s">
        <v>1450</v>
      </c>
      <c r="F1643" s="6" t="s">
        <v>16</v>
      </c>
      <c r="G1643" s="6" t="s">
        <v>310</v>
      </c>
      <c r="H1643" s="6"/>
      <c r="I1643" s="7" t="n">
        <v>40513</v>
      </c>
      <c r="J1643" s="6" t="s">
        <v>19</v>
      </c>
      <c r="K1643" s="6"/>
    </row>
    <row r="1644" customFormat="false" ht="12.8" hidden="false" customHeight="false" outlineLevel="0" collapsed="false">
      <c r="A1644" s="6" t="str">
        <f aca="false">HYPERLINK("https://www.fabsurplus.com/sdi_catalog/salesItemDetails.do?id=97235")</f>
        <v>https://www.fabsurplus.com/sdi_catalog/salesItemDetails.do?id=97235</v>
      </c>
      <c r="B1644" s="6" t="s">
        <v>3912</v>
      </c>
      <c r="C1644" s="6" t="s">
        <v>3850</v>
      </c>
      <c r="D1644" s="6" t="s">
        <v>3911</v>
      </c>
      <c r="E1644" s="6" t="s">
        <v>1450</v>
      </c>
      <c r="F1644" s="6" t="s">
        <v>16</v>
      </c>
      <c r="G1644" s="6" t="s">
        <v>310</v>
      </c>
      <c r="H1644" s="6"/>
      <c r="I1644" s="7" t="n">
        <v>40452</v>
      </c>
      <c r="J1644" s="6" t="s">
        <v>19</v>
      </c>
      <c r="K1644" s="6"/>
    </row>
    <row r="1645" customFormat="false" ht="12.8" hidden="false" customHeight="false" outlineLevel="0" collapsed="false">
      <c r="A1645" s="6" t="str">
        <f aca="false">HYPERLINK("https://www.fabsurplus.com/sdi_catalog/salesItemDetails.do?id=97234")</f>
        <v>https://www.fabsurplus.com/sdi_catalog/salesItemDetails.do?id=97234</v>
      </c>
      <c r="B1645" s="6" t="s">
        <v>3913</v>
      </c>
      <c r="C1645" s="6" t="s">
        <v>3850</v>
      </c>
      <c r="D1645" s="6" t="s">
        <v>3911</v>
      </c>
      <c r="E1645" s="6" t="s">
        <v>1450</v>
      </c>
      <c r="F1645" s="6" t="s">
        <v>16</v>
      </c>
      <c r="G1645" s="6" t="s">
        <v>310</v>
      </c>
      <c r="H1645" s="6"/>
      <c r="I1645" s="7" t="n">
        <v>40360</v>
      </c>
      <c r="J1645" s="6" t="s">
        <v>19</v>
      </c>
      <c r="K1645" s="6"/>
    </row>
    <row r="1646" customFormat="false" ht="12.8" hidden="false" customHeight="false" outlineLevel="0" collapsed="false">
      <c r="A1646" s="8" t="str">
        <f aca="false">HYPERLINK("https://www.fabsurplus.com/sdi_catalog/salesItemDetails.do?id=97233")</f>
        <v>https://www.fabsurplus.com/sdi_catalog/salesItemDetails.do?id=97233</v>
      </c>
      <c r="B1646" s="8" t="s">
        <v>3914</v>
      </c>
      <c r="C1646" s="8" t="s">
        <v>3850</v>
      </c>
      <c r="D1646" s="8" t="s">
        <v>3911</v>
      </c>
      <c r="E1646" s="8" t="s">
        <v>1450</v>
      </c>
      <c r="F1646" s="8" t="s">
        <v>16</v>
      </c>
      <c r="G1646" s="8" t="s">
        <v>310</v>
      </c>
      <c r="H1646" s="8"/>
      <c r="I1646" s="9" t="n">
        <v>41306</v>
      </c>
      <c r="J1646" s="8" t="s">
        <v>19</v>
      </c>
      <c r="K1646" s="8"/>
    </row>
    <row r="1647" customFormat="false" ht="12.8" hidden="false" customHeight="false" outlineLevel="0" collapsed="false">
      <c r="A1647" s="8" t="str">
        <f aca="false">HYPERLINK("https://www.fabsurplus.com/sdi_catalog/salesItemDetails.do?id=97232")</f>
        <v>https://www.fabsurplus.com/sdi_catalog/salesItemDetails.do?id=97232</v>
      </c>
      <c r="B1647" s="8" t="s">
        <v>3915</v>
      </c>
      <c r="C1647" s="8" t="s">
        <v>3850</v>
      </c>
      <c r="D1647" s="8" t="s">
        <v>3911</v>
      </c>
      <c r="E1647" s="8" t="s">
        <v>1450</v>
      </c>
      <c r="F1647" s="8" t="s">
        <v>16</v>
      </c>
      <c r="G1647" s="8" t="s">
        <v>310</v>
      </c>
      <c r="H1647" s="8"/>
      <c r="I1647" s="9" t="n">
        <v>39264</v>
      </c>
      <c r="J1647" s="8" t="s">
        <v>19</v>
      </c>
      <c r="K1647" s="8"/>
    </row>
    <row r="1648" customFormat="false" ht="12.8" hidden="false" customHeight="false" outlineLevel="0" collapsed="false">
      <c r="A1648" s="8" t="str">
        <f aca="false">HYPERLINK("https://www.fabsurplus.com/sdi_catalog/salesItemDetails.do?id=98820")</f>
        <v>https://www.fabsurplus.com/sdi_catalog/salesItemDetails.do?id=98820</v>
      </c>
      <c r="B1648" s="8" t="s">
        <v>3916</v>
      </c>
      <c r="C1648" s="8" t="s">
        <v>3850</v>
      </c>
      <c r="D1648" s="8" t="s">
        <v>3917</v>
      </c>
      <c r="E1648" s="8" t="s">
        <v>1432</v>
      </c>
      <c r="F1648" s="8" t="s">
        <v>16</v>
      </c>
      <c r="G1648" s="8" t="s">
        <v>310</v>
      </c>
      <c r="H1648" s="8"/>
      <c r="I1648" s="9" t="n">
        <v>38930</v>
      </c>
      <c r="J1648" s="8" t="s">
        <v>19</v>
      </c>
      <c r="K1648" s="8"/>
    </row>
    <row r="1649" customFormat="false" ht="12.8" hidden="false" customHeight="false" outlineLevel="0" collapsed="false">
      <c r="A1649" s="6" t="str">
        <f aca="false">HYPERLINK("https://www.fabsurplus.com/sdi_catalog/salesItemDetails.do?id=98821")</f>
        <v>https://www.fabsurplus.com/sdi_catalog/salesItemDetails.do?id=98821</v>
      </c>
      <c r="B1649" s="6" t="s">
        <v>3918</v>
      </c>
      <c r="C1649" s="6" t="s">
        <v>3850</v>
      </c>
      <c r="D1649" s="6" t="s">
        <v>3919</v>
      </c>
      <c r="E1649" s="6" t="s">
        <v>3920</v>
      </c>
      <c r="F1649" s="6" t="s">
        <v>16</v>
      </c>
      <c r="G1649" s="6" t="s">
        <v>310</v>
      </c>
      <c r="H1649" s="6"/>
      <c r="I1649" s="7" t="n">
        <v>43556</v>
      </c>
      <c r="J1649" s="6" t="s">
        <v>19</v>
      </c>
      <c r="K1649" s="6"/>
    </row>
    <row r="1650" customFormat="false" ht="12.8" hidden="false" customHeight="false" outlineLevel="0" collapsed="false">
      <c r="A1650" s="8" t="str">
        <f aca="false">HYPERLINK("https://www.fabsurplus.com/sdi_catalog/salesItemDetails.do?id=98859")</f>
        <v>https://www.fabsurplus.com/sdi_catalog/salesItemDetails.do?id=98859</v>
      </c>
      <c r="B1650" s="8" t="s">
        <v>3921</v>
      </c>
      <c r="C1650" s="8" t="s">
        <v>3850</v>
      </c>
      <c r="D1650" s="8" t="s">
        <v>3922</v>
      </c>
      <c r="E1650" s="8" t="s">
        <v>3923</v>
      </c>
      <c r="F1650" s="8" t="s">
        <v>16</v>
      </c>
      <c r="G1650" s="8" t="s">
        <v>32</v>
      </c>
      <c r="H1650" s="8"/>
      <c r="I1650" s="8"/>
      <c r="J1650" s="8" t="s">
        <v>81</v>
      </c>
      <c r="K1650" s="8"/>
    </row>
    <row r="1651" customFormat="false" ht="12.8" hidden="false" customHeight="false" outlineLevel="0" collapsed="false">
      <c r="A1651" s="6" t="str">
        <f aca="false">HYPERLINK("https://www.fabsurplus.com/sdi_catalog/salesItemDetails.do?id=100792")</f>
        <v>https://www.fabsurplus.com/sdi_catalog/salesItemDetails.do?id=100792</v>
      </c>
      <c r="B1651" s="6" t="s">
        <v>3924</v>
      </c>
      <c r="C1651" s="6" t="s">
        <v>3850</v>
      </c>
      <c r="D1651" s="6" t="s">
        <v>3925</v>
      </c>
      <c r="E1651" s="6" t="s">
        <v>3926</v>
      </c>
      <c r="F1651" s="6" t="s">
        <v>16</v>
      </c>
      <c r="G1651" s="6" t="s">
        <v>32</v>
      </c>
      <c r="H1651" s="6"/>
      <c r="I1651" s="7" t="n">
        <v>38139</v>
      </c>
      <c r="J1651" s="6" t="s">
        <v>81</v>
      </c>
      <c r="K1651" s="6"/>
    </row>
    <row r="1652" customFormat="false" ht="12.8" hidden="false" customHeight="false" outlineLevel="0" collapsed="false">
      <c r="A1652" s="6" t="str">
        <f aca="false">HYPERLINK("https://www.fabsurplus.com/sdi_catalog/salesItemDetails.do?id=99991")</f>
        <v>https://www.fabsurplus.com/sdi_catalog/salesItemDetails.do?id=99991</v>
      </c>
      <c r="B1652" s="6" t="s">
        <v>3927</v>
      </c>
      <c r="C1652" s="6" t="s">
        <v>3850</v>
      </c>
      <c r="D1652" s="6" t="s">
        <v>3928</v>
      </c>
      <c r="E1652" s="6" t="s">
        <v>3876</v>
      </c>
      <c r="F1652" s="6" t="s">
        <v>16</v>
      </c>
      <c r="G1652" s="6" t="s">
        <v>697</v>
      </c>
      <c r="H1652" s="6"/>
      <c r="I1652" s="6"/>
      <c r="J1652" s="6" t="s">
        <v>19</v>
      </c>
      <c r="K1652" s="6"/>
    </row>
    <row r="1653" customFormat="false" ht="12.8" hidden="false" customHeight="false" outlineLevel="0" collapsed="false">
      <c r="A1653" s="8" t="str">
        <f aca="false">HYPERLINK("https://www.fabsurplus.com/sdi_catalog/salesItemDetails.do?id=99863")</f>
        <v>https://www.fabsurplus.com/sdi_catalog/salesItemDetails.do?id=99863</v>
      </c>
      <c r="B1653" s="8" t="s">
        <v>3929</v>
      </c>
      <c r="C1653" s="8" t="s">
        <v>3874</v>
      </c>
      <c r="D1653" s="8" t="s">
        <v>3930</v>
      </c>
      <c r="E1653" s="8" t="s">
        <v>1435</v>
      </c>
      <c r="F1653" s="8" t="s">
        <v>16</v>
      </c>
      <c r="G1653" s="8" t="s">
        <v>372</v>
      </c>
      <c r="H1653" s="8"/>
      <c r="I1653" s="9" t="n">
        <v>37043</v>
      </c>
      <c r="J1653" s="8" t="s">
        <v>81</v>
      </c>
      <c r="K1653" s="8"/>
    </row>
    <row r="1654" customFormat="false" ht="12.8" hidden="false" customHeight="false" outlineLevel="0" collapsed="false">
      <c r="A1654" s="6" t="str">
        <f aca="false">HYPERLINK("https://www.fabsurplus.com/sdi_catalog/salesItemDetails.do?id=100212")</f>
        <v>https://www.fabsurplus.com/sdi_catalog/salesItemDetails.do?id=100212</v>
      </c>
      <c r="B1654" s="6" t="s">
        <v>3931</v>
      </c>
      <c r="C1654" s="6" t="s">
        <v>3850</v>
      </c>
      <c r="D1654" s="6" t="s">
        <v>3932</v>
      </c>
      <c r="E1654" s="6" t="s">
        <v>1432</v>
      </c>
      <c r="F1654" s="6" t="s">
        <v>16</v>
      </c>
      <c r="G1654" s="6" t="s">
        <v>686</v>
      </c>
      <c r="H1654" s="6"/>
      <c r="I1654" s="6"/>
      <c r="J1654" s="6" t="s">
        <v>19</v>
      </c>
      <c r="K1654" s="6"/>
    </row>
    <row r="1655" customFormat="false" ht="12.8" hidden="false" customHeight="false" outlineLevel="0" collapsed="false">
      <c r="A1655" s="8" t="str">
        <f aca="false">HYPERLINK("https://www.fabsurplus.com/sdi_catalog/salesItemDetails.do?id=100211")</f>
        <v>https://www.fabsurplus.com/sdi_catalog/salesItemDetails.do?id=100211</v>
      </c>
      <c r="B1655" s="8" t="s">
        <v>3933</v>
      </c>
      <c r="C1655" s="8" t="s">
        <v>3850</v>
      </c>
      <c r="D1655" s="8" t="s">
        <v>3932</v>
      </c>
      <c r="E1655" s="8" t="s">
        <v>1432</v>
      </c>
      <c r="F1655" s="8" t="s">
        <v>16</v>
      </c>
      <c r="G1655" s="8" t="s">
        <v>686</v>
      </c>
      <c r="H1655" s="8"/>
      <c r="I1655" s="8"/>
      <c r="J1655" s="8" t="s">
        <v>19</v>
      </c>
      <c r="K1655" s="8"/>
    </row>
    <row r="1656" customFormat="false" ht="12.8" hidden="false" customHeight="false" outlineLevel="0" collapsed="false">
      <c r="A1656" s="6" t="str">
        <f aca="false">HYPERLINK("https://www.fabsurplus.com/sdi_catalog/salesItemDetails.do?id=100210")</f>
        <v>https://www.fabsurplus.com/sdi_catalog/salesItemDetails.do?id=100210</v>
      </c>
      <c r="B1656" s="6" t="s">
        <v>3934</v>
      </c>
      <c r="C1656" s="6" t="s">
        <v>3850</v>
      </c>
      <c r="D1656" s="6" t="s">
        <v>3932</v>
      </c>
      <c r="E1656" s="6" t="s">
        <v>1432</v>
      </c>
      <c r="F1656" s="6" t="s">
        <v>16</v>
      </c>
      <c r="G1656" s="6" t="s">
        <v>686</v>
      </c>
      <c r="H1656" s="6"/>
      <c r="I1656" s="6"/>
      <c r="J1656" s="6" t="s">
        <v>19</v>
      </c>
      <c r="K1656" s="6"/>
    </row>
    <row r="1657" customFormat="false" ht="12.8" hidden="false" customHeight="false" outlineLevel="0" collapsed="false">
      <c r="A1657" s="6" t="str">
        <f aca="false">HYPERLINK("https://www.fabsurplus.com/sdi_catalog/salesItemDetails.do?id=100209")</f>
        <v>https://www.fabsurplus.com/sdi_catalog/salesItemDetails.do?id=100209</v>
      </c>
      <c r="B1657" s="6" t="s">
        <v>3935</v>
      </c>
      <c r="C1657" s="6" t="s">
        <v>3850</v>
      </c>
      <c r="D1657" s="6" t="s">
        <v>3932</v>
      </c>
      <c r="E1657" s="6" t="s">
        <v>1432</v>
      </c>
      <c r="F1657" s="6" t="s">
        <v>16</v>
      </c>
      <c r="G1657" s="6" t="s">
        <v>686</v>
      </c>
      <c r="H1657" s="6"/>
      <c r="I1657" s="6"/>
      <c r="J1657" s="6" t="s">
        <v>19</v>
      </c>
      <c r="K1657" s="6"/>
    </row>
    <row r="1658" customFormat="false" ht="12.8" hidden="false" customHeight="false" outlineLevel="0" collapsed="false">
      <c r="A1658" s="6" t="str">
        <f aca="false">HYPERLINK("https://www.fabsurplus.com/sdi_catalog/salesItemDetails.do?id=100217")</f>
        <v>https://www.fabsurplus.com/sdi_catalog/salesItemDetails.do?id=100217</v>
      </c>
      <c r="B1658" s="6" t="s">
        <v>3936</v>
      </c>
      <c r="C1658" s="6" t="s">
        <v>3850</v>
      </c>
      <c r="D1658" s="6" t="s">
        <v>3937</v>
      </c>
      <c r="E1658" s="6" t="s">
        <v>1450</v>
      </c>
      <c r="F1658" s="6" t="s">
        <v>16</v>
      </c>
      <c r="G1658" s="6" t="s">
        <v>686</v>
      </c>
      <c r="H1658" s="6"/>
      <c r="I1658" s="7" t="n">
        <v>41791</v>
      </c>
      <c r="J1658" s="6" t="s">
        <v>19</v>
      </c>
      <c r="K1658" s="6"/>
    </row>
    <row r="1659" customFormat="false" ht="12.8" hidden="false" customHeight="false" outlineLevel="0" collapsed="false">
      <c r="A1659" s="8" t="str">
        <f aca="false">HYPERLINK("https://www.fabsurplus.com/sdi_catalog/salesItemDetails.do?id=100216")</f>
        <v>https://www.fabsurplus.com/sdi_catalog/salesItemDetails.do?id=100216</v>
      </c>
      <c r="B1659" s="8" t="s">
        <v>3938</v>
      </c>
      <c r="C1659" s="8" t="s">
        <v>3850</v>
      </c>
      <c r="D1659" s="8" t="s">
        <v>3937</v>
      </c>
      <c r="E1659" s="8" t="s">
        <v>1450</v>
      </c>
      <c r="F1659" s="8" t="s">
        <v>16</v>
      </c>
      <c r="G1659" s="8" t="s">
        <v>686</v>
      </c>
      <c r="H1659" s="8"/>
      <c r="I1659" s="9" t="n">
        <v>41791</v>
      </c>
      <c r="J1659" s="8" t="s">
        <v>19</v>
      </c>
      <c r="K1659" s="8"/>
    </row>
    <row r="1660" customFormat="false" ht="12.8" hidden="false" customHeight="false" outlineLevel="0" collapsed="false">
      <c r="A1660" s="6" t="str">
        <f aca="false">HYPERLINK("https://www.fabsurplus.com/sdi_catalog/salesItemDetails.do?id=100215")</f>
        <v>https://www.fabsurplus.com/sdi_catalog/salesItemDetails.do?id=100215</v>
      </c>
      <c r="B1660" s="6" t="s">
        <v>3939</v>
      </c>
      <c r="C1660" s="6" t="s">
        <v>3850</v>
      </c>
      <c r="D1660" s="6" t="s">
        <v>3937</v>
      </c>
      <c r="E1660" s="6" t="s">
        <v>1450</v>
      </c>
      <c r="F1660" s="6" t="s">
        <v>16</v>
      </c>
      <c r="G1660" s="6" t="s">
        <v>686</v>
      </c>
      <c r="H1660" s="6"/>
      <c r="I1660" s="7" t="n">
        <v>41791</v>
      </c>
      <c r="J1660" s="6" t="s">
        <v>19</v>
      </c>
      <c r="K1660" s="6"/>
    </row>
    <row r="1661" customFormat="false" ht="12.8" hidden="false" customHeight="false" outlineLevel="0" collapsed="false">
      <c r="A1661" s="8" t="str">
        <f aca="false">HYPERLINK("https://www.fabsurplus.com/sdi_catalog/salesItemDetails.do?id=100214")</f>
        <v>https://www.fabsurplus.com/sdi_catalog/salesItemDetails.do?id=100214</v>
      </c>
      <c r="B1661" s="8" t="s">
        <v>3940</v>
      </c>
      <c r="C1661" s="8" t="s">
        <v>3850</v>
      </c>
      <c r="D1661" s="8" t="s">
        <v>3937</v>
      </c>
      <c r="E1661" s="8" t="s">
        <v>1450</v>
      </c>
      <c r="F1661" s="8" t="s">
        <v>16</v>
      </c>
      <c r="G1661" s="8" t="s">
        <v>686</v>
      </c>
      <c r="H1661" s="8"/>
      <c r="I1661" s="9" t="n">
        <v>41730</v>
      </c>
      <c r="J1661" s="8" t="s">
        <v>19</v>
      </c>
      <c r="K1661" s="8"/>
    </row>
    <row r="1662" customFormat="false" ht="12.8" hidden="false" customHeight="false" outlineLevel="0" collapsed="false">
      <c r="A1662" s="6" t="str">
        <f aca="false">HYPERLINK("https://www.fabsurplus.com/sdi_catalog/salesItemDetails.do?id=100213")</f>
        <v>https://www.fabsurplus.com/sdi_catalog/salesItemDetails.do?id=100213</v>
      </c>
      <c r="B1662" s="6" t="s">
        <v>3941</v>
      </c>
      <c r="C1662" s="6" t="s">
        <v>3850</v>
      </c>
      <c r="D1662" s="6" t="s">
        <v>3937</v>
      </c>
      <c r="E1662" s="6" t="s">
        <v>1450</v>
      </c>
      <c r="F1662" s="6" t="s">
        <v>16</v>
      </c>
      <c r="G1662" s="6" t="s">
        <v>686</v>
      </c>
      <c r="H1662" s="6"/>
      <c r="I1662" s="7" t="n">
        <v>41791</v>
      </c>
      <c r="J1662" s="6" t="s">
        <v>19</v>
      </c>
      <c r="K1662" s="6"/>
    </row>
    <row r="1663" customFormat="false" ht="12.8" hidden="false" customHeight="false" outlineLevel="0" collapsed="false">
      <c r="A1663" s="8" t="str">
        <f aca="false">HYPERLINK("https://www.fabsurplus.com/sdi_catalog/salesItemDetails.do?id=99195")</f>
        <v>https://www.fabsurplus.com/sdi_catalog/salesItemDetails.do?id=99195</v>
      </c>
      <c r="B1663" s="8" t="s">
        <v>3942</v>
      </c>
      <c r="C1663" s="8" t="s">
        <v>3850</v>
      </c>
      <c r="D1663" s="8" t="s">
        <v>3937</v>
      </c>
      <c r="E1663" s="8" t="s">
        <v>1450</v>
      </c>
      <c r="F1663" s="8" t="s">
        <v>16</v>
      </c>
      <c r="G1663" s="8" t="s">
        <v>686</v>
      </c>
      <c r="H1663" s="8"/>
      <c r="I1663" s="8"/>
      <c r="J1663" s="8" t="s">
        <v>19</v>
      </c>
      <c r="K1663" s="8"/>
    </row>
    <row r="1664" customFormat="false" ht="12.8" hidden="false" customHeight="false" outlineLevel="0" collapsed="false">
      <c r="A1664" s="8" t="str">
        <f aca="false">HYPERLINK("https://www.fabsurplus.com/sdi_catalog/salesItemDetails.do?id=99194")</f>
        <v>https://www.fabsurplus.com/sdi_catalog/salesItemDetails.do?id=99194</v>
      </c>
      <c r="B1664" s="8" t="s">
        <v>3943</v>
      </c>
      <c r="C1664" s="8" t="s">
        <v>3850</v>
      </c>
      <c r="D1664" s="8" t="s">
        <v>3937</v>
      </c>
      <c r="E1664" s="8" t="s">
        <v>1450</v>
      </c>
      <c r="F1664" s="8" t="s">
        <v>16</v>
      </c>
      <c r="G1664" s="8" t="s">
        <v>686</v>
      </c>
      <c r="H1664" s="8"/>
      <c r="I1664" s="8"/>
      <c r="J1664" s="8" t="s">
        <v>19</v>
      </c>
      <c r="K1664" s="8"/>
    </row>
    <row r="1665" customFormat="false" ht="12.8" hidden="false" customHeight="false" outlineLevel="0" collapsed="false">
      <c r="A1665" s="8" t="str">
        <f aca="false">HYPERLINK("https://www.fabsurplus.com/sdi_catalog/salesItemDetails.do?id=99992")</f>
        <v>https://www.fabsurplus.com/sdi_catalog/salesItemDetails.do?id=99992</v>
      </c>
      <c r="B1665" s="8" t="s">
        <v>3944</v>
      </c>
      <c r="C1665" s="8" t="s">
        <v>3850</v>
      </c>
      <c r="D1665" s="8" t="s">
        <v>3945</v>
      </c>
      <c r="E1665" s="8" t="s">
        <v>1689</v>
      </c>
      <c r="F1665" s="8" t="s">
        <v>16</v>
      </c>
      <c r="G1665" s="8" t="s">
        <v>697</v>
      </c>
      <c r="H1665" s="8"/>
      <c r="I1665" s="8"/>
      <c r="J1665" s="8" t="s">
        <v>19</v>
      </c>
      <c r="K1665" s="8"/>
    </row>
    <row r="1666" customFormat="false" ht="12.8" hidden="false" customHeight="false" outlineLevel="0" collapsed="false">
      <c r="A1666" s="6" t="str">
        <f aca="false">HYPERLINK("https://www.fabsurplus.com/sdi_catalog/salesItemDetails.do?id=98348")</f>
        <v>https://www.fabsurplus.com/sdi_catalog/salesItemDetails.do?id=98348</v>
      </c>
      <c r="B1666" s="6" t="s">
        <v>3946</v>
      </c>
      <c r="C1666" s="6" t="s">
        <v>3850</v>
      </c>
      <c r="D1666" s="6" t="s">
        <v>3947</v>
      </c>
      <c r="E1666" s="6" t="s">
        <v>1515</v>
      </c>
      <c r="F1666" s="6" t="s">
        <v>16</v>
      </c>
      <c r="G1666" s="6" t="s">
        <v>372</v>
      </c>
      <c r="H1666" s="6"/>
      <c r="I1666" s="7" t="n">
        <v>35217</v>
      </c>
      <c r="J1666" s="6" t="s">
        <v>81</v>
      </c>
      <c r="K1666" s="6"/>
    </row>
    <row r="1667" customFormat="false" ht="12.8" hidden="false" customHeight="false" outlineLevel="0" collapsed="false">
      <c r="A1667" s="6" t="str">
        <f aca="false">HYPERLINK("https://www.fabsurplus.com/sdi_catalog/salesItemDetails.do?id=99919")</f>
        <v>https://www.fabsurplus.com/sdi_catalog/salesItemDetails.do?id=99919</v>
      </c>
      <c r="B1667" s="6" t="s">
        <v>3948</v>
      </c>
      <c r="C1667" s="6" t="s">
        <v>3850</v>
      </c>
      <c r="D1667" s="6" t="s">
        <v>3949</v>
      </c>
      <c r="E1667" s="6" t="s">
        <v>1515</v>
      </c>
      <c r="F1667" s="6" t="s">
        <v>16</v>
      </c>
      <c r="G1667" s="6" t="s">
        <v>32</v>
      </c>
      <c r="H1667" s="6"/>
      <c r="I1667" s="6"/>
      <c r="J1667" s="6" t="s">
        <v>19</v>
      </c>
      <c r="K1667" s="6"/>
    </row>
    <row r="1668" customFormat="false" ht="12.8" hidden="false" customHeight="false" outlineLevel="0" collapsed="false">
      <c r="A1668" s="8" t="str">
        <f aca="false">HYPERLINK("https://www.fabsurplus.com/sdi_catalog/salesItemDetails.do?id=99920")</f>
        <v>https://www.fabsurplus.com/sdi_catalog/salesItemDetails.do?id=99920</v>
      </c>
      <c r="B1668" s="8" t="s">
        <v>3950</v>
      </c>
      <c r="C1668" s="8" t="s">
        <v>3850</v>
      </c>
      <c r="D1668" s="8" t="s">
        <v>3951</v>
      </c>
      <c r="E1668" s="8" t="s">
        <v>1515</v>
      </c>
      <c r="F1668" s="8" t="s">
        <v>16</v>
      </c>
      <c r="G1668" s="8" t="s">
        <v>32</v>
      </c>
      <c r="H1668" s="8"/>
      <c r="I1668" s="8"/>
      <c r="J1668" s="8" t="s">
        <v>19</v>
      </c>
      <c r="K1668" s="8"/>
    </row>
    <row r="1669" customFormat="false" ht="12.8" hidden="false" customHeight="false" outlineLevel="0" collapsed="false">
      <c r="A1669" s="6" t="str">
        <f aca="false">HYPERLINK("https://www.fabsurplus.com/sdi_catalog/salesItemDetails.do?id=99018")</f>
        <v>https://www.fabsurplus.com/sdi_catalog/salesItemDetails.do?id=99018</v>
      </c>
      <c r="B1669" s="6" t="s">
        <v>3952</v>
      </c>
      <c r="C1669" s="6" t="s">
        <v>3850</v>
      </c>
      <c r="D1669" s="6" t="s">
        <v>3953</v>
      </c>
      <c r="E1669" s="6" t="s">
        <v>1681</v>
      </c>
      <c r="F1669" s="6" t="s">
        <v>16</v>
      </c>
      <c r="G1669" s="6" t="s">
        <v>310</v>
      </c>
      <c r="H1669" s="6"/>
      <c r="I1669" s="7" t="n">
        <v>37742</v>
      </c>
      <c r="J1669" s="6" t="s">
        <v>19</v>
      </c>
      <c r="K1669" s="6"/>
    </row>
    <row r="1670" customFormat="false" ht="12.8" hidden="false" customHeight="false" outlineLevel="0" collapsed="false">
      <c r="A1670" s="6" t="str">
        <f aca="false">HYPERLINK("https://www.fabsurplus.com/sdi_catalog/salesItemDetails.do?id=97241")</f>
        <v>https://www.fabsurplus.com/sdi_catalog/salesItemDetails.do?id=97241</v>
      </c>
      <c r="B1670" s="6" t="s">
        <v>3954</v>
      </c>
      <c r="C1670" s="6" t="s">
        <v>3850</v>
      </c>
      <c r="D1670" s="6" t="s">
        <v>3953</v>
      </c>
      <c r="E1670" s="6" t="s">
        <v>1700</v>
      </c>
      <c r="F1670" s="6" t="s">
        <v>16</v>
      </c>
      <c r="G1670" s="6" t="s">
        <v>310</v>
      </c>
      <c r="H1670" s="6"/>
      <c r="I1670" s="7" t="n">
        <v>40483</v>
      </c>
      <c r="J1670" s="6" t="s">
        <v>19</v>
      </c>
      <c r="K1670" s="6"/>
    </row>
    <row r="1671" customFormat="false" ht="12.8" hidden="false" customHeight="false" outlineLevel="0" collapsed="false">
      <c r="A1671" s="6" t="str">
        <f aca="false">HYPERLINK("https://www.fabsurplus.com/sdi_catalog/salesItemDetails.do?id=97240")</f>
        <v>https://www.fabsurplus.com/sdi_catalog/salesItemDetails.do?id=97240</v>
      </c>
      <c r="B1671" s="6" t="s">
        <v>3955</v>
      </c>
      <c r="C1671" s="6" t="s">
        <v>3850</v>
      </c>
      <c r="D1671" s="6" t="s">
        <v>3953</v>
      </c>
      <c r="E1671" s="6" t="s">
        <v>1700</v>
      </c>
      <c r="F1671" s="6" t="s">
        <v>16</v>
      </c>
      <c r="G1671" s="6" t="s">
        <v>310</v>
      </c>
      <c r="H1671" s="6"/>
      <c r="I1671" s="7" t="n">
        <v>40118</v>
      </c>
      <c r="J1671" s="6" t="s">
        <v>19</v>
      </c>
      <c r="K1671" s="6"/>
    </row>
    <row r="1672" customFormat="false" ht="12.8" hidden="false" customHeight="false" outlineLevel="0" collapsed="false">
      <c r="A1672" s="6" t="str">
        <f aca="false">HYPERLINK("https://www.fabsurplus.com/sdi_catalog/salesItemDetails.do?id=97239")</f>
        <v>https://www.fabsurplus.com/sdi_catalog/salesItemDetails.do?id=97239</v>
      </c>
      <c r="B1672" s="6" t="s">
        <v>3956</v>
      </c>
      <c r="C1672" s="6" t="s">
        <v>3850</v>
      </c>
      <c r="D1672" s="6" t="s">
        <v>3953</v>
      </c>
      <c r="E1672" s="6" t="s">
        <v>1700</v>
      </c>
      <c r="F1672" s="6" t="s">
        <v>16</v>
      </c>
      <c r="G1672" s="6" t="s">
        <v>310</v>
      </c>
      <c r="H1672" s="6"/>
      <c r="I1672" s="7" t="n">
        <v>37742</v>
      </c>
      <c r="J1672" s="6" t="s">
        <v>19</v>
      </c>
      <c r="K1672" s="6"/>
    </row>
    <row r="1673" customFormat="false" ht="12.8" hidden="false" customHeight="false" outlineLevel="0" collapsed="false">
      <c r="A1673" s="6" t="str">
        <f aca="false">HYPERLINK("https://www.fabsurplus.com/sdi_catalog/salesItemDetails.do?id=97238")</f>
        <v>https://www.fabsurplus.com/sdi_catalog/salesItemDetails.do?id=97238</v>
      </c>
      <c r="B1673" s="6" t="s">
        <v>3957</v>
      </c>
      <c r="C1673" s="6" t="s">
        <v>3850</v>
      </c>
      <c r="D1673" s="6" t="s">
        <v>3953</v>
      </c>
      <c r="E1673" s="6" t="s">
        <v>1700</v>
      </c>
      <c r="F1673" s="6" t="s">
        <v>16</v>
      </c>
      <c r="G1673" s="6" t="s">
        <v>310</v>
      </c>
      <c r="H1673" s="6" t="s">
        <v>18</v>
      </c>
      <c r="I1673" s="7" t="n">
        <v>40179</v>
      </c>
      <c r="J1673" s="6" t="s">
        <v>19</v>
      </c>
      <c r="K1673" s="6"/>
    </row>
    <row r="1674" customFormat="false" ht="12.8" hidden="false" customHeight="false" outlineLevel="0" collapsed="false">
      <c r="A1674" s="6" t="str">
        <f aca="false">HYPERLINK("https://www.fabsurplus.com/sdi_catalog/salesItemDetails.do?id=97237")</f>
        <v>https://www.fabsurplus.com/sdi_catalog/salesItemDetails.do?id=97237</v>
      </c>
      <c r="B1674" s="6" t="s">
        <v>3958</v>
      </c>
      <c r="C1674" s="6" t="s">
        <v>3850</v>
      </c>
      <c r="D1674" s="6" t="s">
        <v>3953</v>
      </c>
      <c r="E1674" s="6" t="s">
        <v>1700</v>
      </c>
      <c r="F1674" s="6" t="s">
        <v>16</v>
      </c>
      <c r="G1674" s="6" t="s">
        <v>310</v>
      </c>
      <c r="H1674" s="6"/>
      <c r="I1674" s="7" t="n">
        <v>38047</v>
      </c>
      <c r="J1674" s="6" t="s">
        <v>19</v>
      </c>
      <c r="K1674" s="6"/>
    </row>
    <row r="1675" customFormat="false" ht="12.8" hidden="false" customHeight="false" outlineLevel="0" collapsed="false">
      <c r="A1675" s="6" t="str">
        <f aca="false">HYPERLINK("https://www.fabsurplus.com/sdi_catalog/salesItemDetails.do?id=99019")</f>
        <v>https://www.fabsurplus.com/sdi_catalog/salesItemDetails.do?id=99019</v>
      </c>
      <c r="B1675" s="6" t="s">
        <v>3959</v>
      </c>
      <c r="C1675" s="6" t="s">
        <v>3850</v>
      </c>
      <c r="D1675" s="6" t="s">
        <v>3953</v>
      </c>
      <c r="E1675" s="6" t="s">
        <v>1432</v>
      </c>
      <c r="F1675" s="6" t="s">
        <v>16</v>
      </c>
      <c r="G1675" s="6" t="s">
        <v>310</v>
      </c>
      <c r="H1675" s="6"/>
      <c r="I1675" s="7" t="n">
        <v>40269</v>
      </c>
      <c r="J1675" s="6" t="s">
        <v>19</v>
      </c>
      <c r="K1675" s="6"/>
    </row>
    <row r="1676" customFormat="false" ht="12.8" hidden="false" customHeight="false" outlineLevel="0" collapsed="false">
      <c r="A1676" s="8" t="str">
        <f aca="false">HYPERLINK("https://www.fabsurplus.com/sdi_catalog/salesItemDetails.do?id=99017")</f>
        <v>https://www.fabsurplus.com/sdi_catalog/salesItemDetails.do?id=99017</v>
      </c>
      <c r="B1676" s="8" t="s">
        <v>3960</v>
      </c>
      <c r="C1676" s="8" t="s">
        <v>3850</v>
      </c>
      <c r="D1676" s="8" t="s">
        <v>3953</v>
      </c>
      <c r="E1676" s="8" t="s">
        <v>1432</v>
      </c>
      <c r="F1676" s="8" t="s">
        <v>16</v>
      </c>
      <c r="G1676" s="8" t="s">
        <v>310</v>
      </c>
      <c r="H1676" s="8"/>
      <c r="I1676" s="9" t="n">
        <v>37135</v>
      </c>
      <c r="J1676" s="8" t="s">
        <v>19</v>
      </c>
      <c r="K1676" s="8"/>
    </row>
    <row r="1677" customFormat="false" ht="12.8" hidden="false" customHeight="false" outlineLevel="0" collapsed="false">
      <c r="A1677" s="6" t="str">
        <f aca="false">HYPERLINK("https://www.fabsurplus.com/sdi_catalog/salesItemDetails.do?id=99016")</f>
        <v>https://www.fabsurplus.com/sdi_catalog/salesItemDetails.do?id=99016</v>
      </c>
      <c r="B1677" s="6" t="s">
        <v>3961</v>
      </c>
      <c r="C1677" s="6" t="s">
        <v>3850</v>
      </c>
      <c r="D1677" s="6" t="s">
        <v>3953</v>
      </c>
      <c r="E1677" s="6" t="s">
        <v>1432</v>
      </c>
      <c r="F1677" s="6" t="s">
        <v>16</v>
      </c>
      <c r="G1677" s="6" t="s">
        <v>310</v>
      </c>
      <c r="H1677" s="6"/>
      <c r="I1677" s="7" t="n">
        <v>38534</v>
      </c>
      <c r="J1677" s="6" t="s">
        <v>19</v>
      </c>
      <c r="K1677" s="6"/>
    </row>
    <row r="1678" customFormat="false" ht="12.8" hidden="false" customHeight="false" outlineLevel="0" collapsed="false">
      <c r="A1678" s="6" t="str">
        <f aca="false">HYPERLINK("https://www.fabsurplus.com/sdi_catalog/salesItemDetails.do?id=99020")</f>
        <v>https://www.fabsurplus.com/sdi_catalog/salesItemDetails.do?id=99020</v>
      </c>
      <c r="B1678" s="6" t="s">
        <v>3962</v>
      </c>
      <c r="C1678" s="6" t="s">
        <v>3850</v>
      </c>
      <c r="D1678" s="6" t="s">
        <v>3963</v>
      </c>
      <c r="E1678" s="6" t="s">
        <v>1495</v>
      </c>
      <c r="F1678" s="6" t="s">
        <v>16</v>
      </c>
      <c r="G1678" s="6"/>
      <c r="H1678" s="6"/>
      <c r="I1678" s="7" t="n">
        <v>38777</v>
      </c>
      <c r="J1678" s="6" t="s">
        <v>19</v>
      </c>
      <c r="K1678" s="6"/>
    </row>
    <row r="1679" customFormat="false" ht="12.8" hidden="false" customHeight="false" outlineLevel="0" collapsed="false">
      <c r="A1679" s="8" t="str">
        <f aca="false">HYPERLINK("https://www.fabsurplus.com/sdi_catalog/salesItemDetails.do?id=98822")</f>
        <v>https://www.fabsurplus.com/sdi_catalog/salesItemDetails.do?id=98822</v>
      </c>
      <c r="B1679" s="8" t="s">
        <v>3964</v>
      </c>
      <c r="C1679" s="8" t="s">
        <v>3850</v>
      </c>
      <c r="D1679" s="8" t="s">
        <v>3963</v>
      </c>
      <c r="E1679" s="8" t="s">
        <v>1495</v>
      </c>
      <c r="F1679" s="8" t="s">
        <v>16</v>
      </c>
      <c r="G1679" s="8" t="s">
        <v>310</v>
      </c>
      <c r="H1679" s="8"/>
      <c r="I1679" s="9" t="n">
        <v>38749</v>
      </c>
      <c r="J1679" s="8" t="s">
        <v>19</v>
      </c>
      <c r="K1679" s="8"/>
    </row>
    <row r="1680" customFormat="false" ht="12.8" hidden="false" customHeight="false" outlineLevel="0" collapsed="false">
      <c r="A1680" s="6" t="str">
        <f aca="false">HYPERLINK("https://www.fabsurplus.com/sdi_catalog/salesItemDetails.do?id=99021")</f>
        <v>https://www.fabsurplus.com/sdi_catalog/salesItemDetails.do?id=99021</v>
      </c>
      <c r="B1680" s="6" t="s">
        <v>3965</v>
      </c>
      <c r="C1680" s="6" t="s">
        <v>3850</v>
      </c>
      <c r="D1680" s="6" t="s">
        <v>3966</v>
      </c>
      <c r="E1680" s="6" t="s">
        <v>1495</v>
      </c>
      <c r="F1680" s="6" t="s">
        <v>16</v>
      </c>
      <c r="G1680" s="6"/>
      <c r="H1680" s="6"/>
      <c r="I1680" s="7" t="n">
        <v>41153</v>
      </c>
      <c r="J1680" s="6" t="s">
        <v>19</v>
      </c>
      <c r="K1680" s="6"/>
    </row>
    <row r="1681" customFormat="false" ht="12.8" hidden="false" customHeight="false" outlineLevel="0" collapsed="false">
      <c r="A1681" s="6" t="str">
        <f aca="false">HYPERLINK("https://www.fabsurplus.com/sdi_catalog/salesItemDetails.do?id=98823")</f>
        <v>https://www.fabsurplus.com/sdi_catalog/salesItemDetails.do?id=98823</v>
      </c>
      <c r="B1681" s="6" t="s">
        <v>3967</v>
      </c>
      <c r="C1681" s="6" t="s">
        <v>3850</v>
      </c>
      <c r="D1681" s="6" t="s">
        <v>3968</v>
      </c>
      <c r="E1681" s="6" t="s">
        <v>874</v>
      </c>
      <c r="F1681" s="6" t="s">
        <v>16</v>
      </c>
      <c r="G1681" s="6" t="s">
        <v>310</v>
      </c>
      <c r="H1681" s="6"/>
      <c r="I1681" s="7" t="n">
        <v>38169</v>
      </c>
      <c r="J1681" s="6" t="s">
        <v>19</v>
      </c>
      <c r="K1681" s="6"/>
    </row>
    <row r="1682" customFormat="false" ht="12.8" hidden="false" customHeight="false" outlineLevel="0" collapsed="false">
      <c r="A1682" s="8" t="str">
        <f aca="false">HYPERLINK("https://www.fabsurplus.com/sdi_catalog/salesItemDetails.do?id=98280")</f>
        <v>https://www.fabsurplus.com/sdi_catalog/salesItemDetails.do?id=98280</v>
      </c>
      <c r="B1682" s="8" t="s">
        <v>3969</v>
      </c>
      <c r="C1682" s="8" t="s">
        <v>3850</v>
      </c>
      <c r="D1682" s="8" t="s">
        <v>3970</v>
      </c>
      <c r="E1682" s="8" t="s">
        <v>3971</v>
      </c>
      <c r="F1682" s="8" t="s">
        <v>16</v>
      </c>
      <c r="G1682" s="8" t="s">
        <v>310</v>
      </c>
      <c r="H1682" s="8"/>
      <c r="I1682" s="9" t="n">
        <v>39600</v>
      </c>
      <c r="J1682" s="8" t="s">
        <v>19</v>
      </c>
      <c r="K1682" s="8"/>
    </row>
    <row r="1683" customFormat="false" ht="12.8" hidden="false" customHeight="false" outlineLevel="0" collapsed="false">
      <c r="A1683" s="8" t="str">
        <f aca="false">HYPERLINK("https://www.fabsurplus.com/sdi_catalog/salesItemDetails.do?id=98279")</f>
        <v>https://www.fabsurplus.com/sdi_catalog/salesItemDetails.do?id=98279</v>
      </c>
      <c r="B1683" s="8" t="s">
        <v>3972</v>
      </c>
      <c r="C1683" s="8" t="s">
        <v>3850</v>
      </c>
      <c r="D1683" s="8" t="s">
        <v>3970</v>
      </c>
      <c r="E1683" s="8" t="s">
        <v>3971</v>
      </c>
      <c r="F1683" s="8" t="s">
        <v>16</v>
      </c>
      <c r="G1683" s="8" t="s">
        <v>310</v>
      </c>
      <c r="H1683" s="8"/>
      <c r="I1683" s="9" t="n">
        <v>39600</v>
      </c>
      <c r="J1683" s="8" t="s">
        <v>19</v>
      </c>
      <c r="K1683" s="8"/>
    </row>
    <row r="1684" customFormat="false" ht="12.8" hidden="false" customHeight="false" outlineLevel="0" collapsed="false">
      <c r="A1684" s="6" t="str">
        <f aca="false">HYPERLINK("https://www.fabsurplus.com/sdi_catalog/salesItemDetails.do?id=99022")</f>
        <v>https://www.fabsurplus.com/sdi_catalog/salesItemDetails.do?id=99022</v>
      </c>
      <c r="B1684" s="6" t="s">
        <v>3973</v>
      </c>
      <c r="C1684" s="6" t="s">
        <v>3850</v>
      </c>
      <c r="D1684" s="6" t="s">
        <v>3974</v>
      </c>
      <c r="E1684" s="6" t="s">
        <v>1495</v>
      </c>
      <c r="F1684" s="6" t="s">
        <v>16</v>
      </c>
      <c r="G1684" s="6"/>
      <c r="H1684" s="6"/>
      <c r="I1684" s="7" t="n">
        <v>41518</v>
      </c>
      <c r="J1684" s="6" t="s">
        <v>19</v>
      </c>
      <c r="K1684" s="6"/>
    </row>
    <row r="1685" customFormat="false" ht="12.8" hidden="false" customHeight="false" outlineLevel="0" collapsed="false">
      <c r="A1685" s="6" t="str">
        <f aca="false">HYPERLINK("https://www.fabsurplus.com/sdi_catalog/salesItemDetails.do?id=99023")</f>
        <v>https://www.fabsurplus.com/sdi_catalog/salesItemDetails.do?id=99023</v>
      </c>
      <c r="B1685" s="6" t="s">
        <v>3975</v>
      </c>
      <c r="C1685" s="6" t="s">
        <v>3850</v>
      </c>
      <c r="D1685" s="6" t="s">
        <v>3976</v>
      </c>
      <c r="E1685" s="6" t="s">
        <v>1495</v>
      </c>
      <c r="F1685" s="6" t="s">
        <v>16</v>
      </c>
      <c r="G1685" s="6"/>
      <c r="H1685" s="6"/>
      <c r="I1685" s="7" t="n">
        <v>38534</v>
      </c>
      <c r="J1685" s="6" t="s">
        <v>19</v>
      </c>
      <c r="K1685" s="6"/>
    </row>
    <row r="1686" customFormat="false" ht="12.8" hidden="false" customHeight="false" outlineLevel="0" collapsed="false">
      <c r="A1686" s="6" t="str">
        <f aca="false">HYPERLINK("https://www.fabsurplus.com/sdi_catalog/salesItemDetails.do?id=99024")</f>
        <v>https://www.fabsurplus.com/sdi_catalog/salesItemDetails.do?id=99024</v>
      </c>
      <c r="B1686" s="6" t="s">
        <v>3977</v>
      </c>
      <c r="C1686" s="6" t="s">
        <v>3850</v>
      </c>
      <c r="D1686" s="6" t="s">
        <v>3978</v>
      </c>
      <c r="E1686" s="6" t="s">
        <v>1495</v>
      </c>
      <c r="F1686" s="6" t="s">
        <v>16</v>
      </c>
      <c r="G1686" s="6"/>
      <c r="H1686" s="6"/>
      <c r="I1686" s="7" t="n">
        <v>39295</v>
      </c>
      <c r="J1686" s="6" t="s">
        <v>19</v>
      </c>
      <c r="K1686" s="6"/>
    </row>
    <row r="1687" customFormat="false" ht="12.8" hidden="false" customHeight="false" outlineLevel="0" collapsed="false">
      <c r="A1687" s="6" t="str">
        <f aca="false">HYPERLINK("https://www.fabsurplus.com/sdi_catalog/salesItemDetails.do?id=99864")</f>
        <v>https://www.fabsurplus.com/sdi_catalog/salesItemDetails.do?id=99864</v>
      </c>
      <c r="B1687" s="6" t="s">
        <v>3979</v>
      </c>
      <c r="C1687" s="6" t="s">
        <v>3874</v>
      </c>
      <c r="D1687" s="6" t="s">
        <v>3980</v>
      </c>
      <c r="E1687" s="6" t="s">
        <v>2400</v>
      </c>
      <c r="F1687" s="6" t="s">
        <v>16</v>
      </c>
      <c r="G1687" s="6"/>
      <c r="H1687" s="6"/>
      <c r="I1687" s="7" t="n">
        <v>38139</v>
      </c>
      <c r="J1687" s="6" t="s">
        <v>81</v>
      </c>
      <c r="K1687" s="6"/>
    </row>
    <row r="1688" customFormat="false" ht="12.8" hidden="false" customHeight="false" outlineLevel="0" collapsed="false">
      <c r="A1688" s="8" t="str">
        <f aca="false">HYPERLINK("https://www.fabsurplus.com/sdi_catalog/salesItemDetails.do?id=98473")</f>
        <v>https://www.fabsurplus.com/sdi_catalog/salesItemDetails.do?id=98473</v>
      </c>
      <c r="B1688" s="8" t="s">
        <v>3981</v>
      </c>
      <c r="C1688" s="8" t="s">
        <v>3850</v>
      </c>
      <c r="D1688" s="8" t="s">
        <v>3982</v>
      </c>
      <c r="E1688" s="8" t="s">
        <v>3983</v>
      </c>
      <c r="F1688" s="8" t="s">
        <v>2540</v>
      </c>
      <c r="G1688" s="8" t="s">
        <v>697</v>
      </c>
      <c r="H1688" s="8"/>
      <c r="I1688" s="8"/>
      <c r="J1688" s="8" t="s">
        <v>19</v>
      </c>
      <c r="K1688" s="8"/>
    </row>
    <row r="1689" customFormat="false" ht="12.8" hidden="false" customHeight="false" outlineLevel="0" collapsed="false">
      <c r="A1689" s="8" t="str">
        <f aca="false">HYPERLINK("https://www.fabsurplus.com/sdi_catalog/salesItemDetails.do?id=99056")</f>
        <v>https://www.fabsurplus.com/sdi_catalog/salesItemDetails.do?id=99056</v>
      </c>
      <c r="B1689" s="8" t="s">
        <v>3984</v>
      </c>
      <c r="C1689" s="8" t="s">
        <v>3850</v>
      </c>
      <c r="D1689" s="8" t="s">
        <v>3985</v>
      </c>
      <c r="E1689" s="8" t="s">
        <v>3876</v>
      </c>
      <c r="F1689" s="8" t="s">
        <v>16</v>
      </c>
      <c r="G1689" s="8" t="s">
        <v>32</v>
      </c>
      <c r="H1689" s="8" t="s">
        <v>18</v>
      </c>
      <c r="I1689" s="8"/>
      <c r="J1689" s="8" t="s">
        <v>19</v>
      </c>
      <c r="K1689" s="8" t="s">
        <v>20</v>
      </c>
    </row>
    <row r="1690" customFormat="false" ht="12.8" hidden="false" customHeight="false" outlineLevel="0" collapsed="false">
      <c r="A1690" s="6" t="str">
        <f aca="false">HYPERLINK("https://www.fabsurplus.com/sdi_catalog/salesItemDetails.do?id=99993")</f>
        <v>https://www.fabsurplus.com/sdi_catalog/salesItemDetails.do?id=99993</v>
      </c>
      <c r="B1690" s="6" t="s">
        <v>3986</v>
      </c>
      <c r="C1690" s="6" t="s">
        <v>3850</v>
      </c>
      <c r="D1690" s="6" t="s">
        <v>3987</v>
      </c>
      <c r="E1690" s="6" t="s">
        <v>3988</v>
      </c>
      <c r="F1690" s="6" t="s">
        <v>16</v>
      </c>
      <c r="G1690" s="6" t="s">
        <v>697</v>
      </c>
      <c r="H1690" s="6"/>
      <c r="I1690" s="6"/>
      <c r="J1690" s="6" t="s">
        <v>19</v>
      </c>
      <c r="K1690" s="6"/>
    </row>
    <row r="1691" customFormat="false" ht="12.8" hidden="false" customHeight="false" outlineLevel="0" collapsed="false">
      <c r="A1691" s="6" t="str">
        <f aca="false">HYPERLINK("https://www.fabsurplus.com/sdi_catalog/salesItemDetails.do?id=99994")</f>
        <v>https://www.fabsurplus.com/sdi_catalog/salesItemDetails.do?id=99994</v>
      </c>
      <c r="B1691" s="6" t="s">
        <v>3989</v>
      </c>
      <c r="C1691" s="6" t="s">
        <v>3850</v>
      </c>
      <c r="D1691" s="6" t="s">
        <v>3990</v>
      </c>
      <c r="E1691" s="6" t="s">
        <v>3876</v>
      </c>
      <c r="F1691" s="6" t="s">
        <v>16</v>
      </c>
      <c r="G1691" s="6" t="s">
        <v>697</v>
      </c>
      <c r="H1691" s="6"/>
      <c r="I1691" s="6"/>
      <c r="J1691" s="6" t="s">
        <v>19</v>
      </c>
      <c r="K1691" s="6"/>
    </row>
    <row r="1692" customFormat="false" ht="12.8" hidden="false" customHeight="false" outlineLevel="0" collapsed="false">
      <c r="A1692" s="6" t="str">
        <f aca="false">HYPERLINK("https://www.fabsurplus.com/sdi_catalog/salesItemDetails.do?id=99921")</f>
        <v>https://www.fabsurplus.com/sdi_catalog/salesItemDetails.do?id=99921</v>
      </c>
      <c r="B1692" s="6" t="s">
        <v>3991</v>
      </c>
      <c r="C1692" s="6" t="s">
        <v>3850</v>
      </c>
      <c r="D1692" s="6" t="s">
        <v>3992</v>
      </c>
      <c r="E1692" s="6" t="s">
        <v>3993</v>
      </c>
      <c r="F1692" s="6" t="s">
        <v>16</v>
      </c>
      <c r="G1692" s="6" t="s">
        <v>310</v>
      </c>
      <c r="H1692" s="6"/>
      <c r="I1692" s="7" t="n">
        <v>38504</v>
      </c>
      <c r="J1692" s="6" t="s">
        <v>19</v>
      </c>
      <c r="K1692" s="6"/>
    </row>
    <row r="1693" customFormat="false" ht="12.8" hidden="false" customHeight="false" outlineLevel="0" collapsed="false">
      <c r="A1693" s="6" t="str">
        <f aca="false">HYPERLINK("https://www.fabsurplus.com/sdi_catalog/salesItemDetails.do?id=99922")</f>
        <v>https://www.fabsurplus.com/sdi_catalog/salesItemDetails.do?id=99922</v>
      </c>
      <c r="B1693" s="6" t="s">
        <v>3994</v>
      </c>
      <c r="C1693" s="6" t="s">
        <v>3850</v>
      </c>
      <c r="D1693" s="6" t="s">
        <v>3995</v>
      </c>
      <c r="E1693" s="6" t="s">
        <v>3996</v>
      </c>
      <c r="F1693" s="6" t="s">
        <v>16</v>
      </c>
      <c r="G1693" s="6" t="s">
        <v>32</v>
      </c>
      <c r="H1693" s="6"/>
      <c r="I1693" s="7" t="n">
        <v>34121</v>
      </c>
      <c r="J1693" s="6" t="s">
        <v>19</v>
      </c>
      <c r="K1693" s="6"/>
    </row>
    <row r="1694" customFormat="false" ht="12.8" hidden="false" customHeight="false" outlineLevel="0" collapsed="false">
      <c r="A1694" s="8" t="str">
        <f aca="false">HYPERLINK("https://www.fabsurplus.com/sdi_catalog/salesItemDetails.do?id=99923")</f>
        <v>https://www.fabsurplus.com/sdi_catalog/salesItemDetails.do?id=99923</v>
      </c>
      <c r="B1694" s="8" t="s">
        <v>3997</v>
      </c>
      <c r="C1694" s="8" t="s">
        <v>3850</v>
      </c>
      <c r="D1694" s="8" t="s">
        <v>3998</v>
      </c>
      <c r="E1694" s="8" t="s">
        <v>3996</v>
      </c>
      <c r="F1694" s="8" t="s">
        <v>16</v>
      </c>
      <c r="G1694" s="8" t="s">
        <v>32</v>
      </c>
      <c r="H1694" s="8"/>
      <c r="I1694" s="8"/>
      <c r="J1694" s="8" t="s">
        <v>19</v>
      </c>
      <c r="K1694" s="8"/>
    </row>
    <row r="1695" customFormat="false" ht="12.8" hidden="false" customHeight="false" outlineLevel="0" collapsed="false">
      <c r="A1695" s="6" t="str">
        <f aca="false">HYPERLINK("https://www.fabsurplus.com/sdi_catalog/salesItemDetails.do?id=98826")</f>
        <v>https://www.fabsurplus.com/sdi_catalog/salesItemDetails.do?id=98826</v>
      </c>
      <c r="B1695" s="6" t="s">
        <v>3999</v>
      </c>
      <c r="C1695" s="6" t="s">
        <v>3850</v>
      </c>
      <c r="D1695" s="6" t="s">
        <v>4000</v>
      </c>
      <c r="E1695" s="6" t="s">
        <v>1495</v>
      </c>
      <c r="F1695" s="6" t="s">
        <v>16</v>
      </c>
      <c r="G1695" s="6" t="s">
        <v>310</v>
      </c>
      <c r="H1695" s="6"/>
      <c r="I1695" s="7" t="n">
        <v>40452</v>
      </c>
      <c r="J1695" s="6" t="s">
        <v>19</v>
      </c>
      <c r="K1695" s="6"/>
    </row>
    <row r="1696" customFormat="false" ht="12.8" hidden="false" customHeight="false" outlineLevel="0" collapsed="false">
      <c r="A1696" s="6" t="str">
        <f aca="false">HYPERLINK("https://www.fabsurplus.com/sdi_catalog/salesItemDetails.do?id=99924")</f>
        <v>https://www.fabsurplus.com/sdi_catalog/salesItemDetails.do?id=99924</v>
      </c>
      <c r="B1696" s="6" t="s">
        <v>4001</v>
      </c>
      <c r="C1696" s="6" t="s">
        <v>3850</v>
      </c>
      <c r="D1696" s="6" t="s">
        <v>4002</v>
      </c>
      <c r="E1696" s="6" t="s">
        <v>3996</v>
      </c>
      <c r="F1696" s="6" t="s">
        <v>16</v>
      </c>
      <c r="G1696" s="6" t="s">
        <v>310</v>
      </c>
      <c r="H1696" s="6"/>
      <c r="I1696" s="6"/>
      <c r="J1696" s="6" t="s">
        <v>19</v>
      </c>
      <c r="K1696" s="6"/>
    </row>
    <row r="1697" customFormat="false" ht="12.8" hidden="false" customHeight="false" outlineLevel="0" collapsed="false">
      <c r="A1697" s="6" t="str">
        <f aca="false">HYPERLINK("https://www.fabsurplus.com/sdi_catalog/salesItemDetails.do?id=98350")</f>
        <v>https://www.fabsurplus.com/sdi_catalog/salesItemDetails.do?id=98350</v>
      </c>
      <c r="B1697" s="6" t="s">
        <v>4003</v>
      </c>
      <c r="C1697" s="6" t="s">
        <v>3850</v>
      </c>
      <c r="D1697" s="6" t="s">
        <v>4004</v>
      </c>
      <c r="E1697" s="6" t="s">
        <v>1681</v>
      </c>
      <c r="F1697" s="6" t="s">
        <v>16</v>
      </c>
      <c r="G1697" s="6" t="s">
        <v>310</v>
      </c>
      <c r="H1697" s="6"/>
      <c r="I1697" s="7" t="n">
        <v>38504</v>
      </c>
      <c r="J1697" s="6" t="s">
        <v>81</v>
      </c>
      <c r="K1697" s="6"/>
    </row>
    <row r="1698" customFormat="false" ht="12.8" hidden="false" customHeight="false" outlineLevel="0" collapsed="false">
      <c r="A1698" s="8" t="str">
        <f aca="false">HYPERLINK("https://www.fabsurplus.com/sdi_catalog/salesItemDetails.do?id=98349")</f>
        <v>https://www.fabsurplus.com/sdi_catalog/salesItemDetails.do?id=98349</v>
      </c>
      <c r="B1698" s="8" t="s">
        <v>4005</v>
      </c>
      <c r="C1698" s="8" t="s">
        <v>3850</v>
      </c>
      <c r="D1698" s="8" t="s">
        <v>4004</v>
      </c>
      <c r="E1698" s="8" t="s">
        <v>1681</v>
      </c>
      <c r="F1698" s="8" t="s">
        <v>16</v>
      </c>
      <c r="G1698" s="8" t="s">
        <v>310</v>
      </c>
      <c r="H1698" s="8"/>
      <c r="I1698" s="9" t="n">
        <v>38504</v>
      </c>
      <c r="J1698" s="8" t="s">
        <v>81</v>
      </c>
      <c r="K1698" s="8"/>
    </row>
    <row r="1699" customFormat="false" ht="12.8" hidden="false" customHeight="false" outlineLevel="0" collapsed="false">
      <c r="A1699" s="6" t="str">
        <f aca="false">HYPERLINK("https://www.fabsurplus.com/sdi_catalog/salesItemDetails.do?id=97242")</f>
        <v>https://www.fabsurplus.com/sdi_catalog/salesItemDetails.do?id=97242</v>
      </c>
      <c r="B1699" s="6" t="s">
        <v>4006</v>
      </c>
      <c r="C1699" s="6" t="s">
        <v>3850</v>
      </c>
      <c r="D1699" s="6" t="s">
        <v>4004</v>
      </c>
      <c r="E1699" s="6" t="s">
        <v>1729</v>
      </c>
      <c r="F1699" s="6" t="s">
        <v>16</v>
      </c>
      <c r="G1699" s="6" t="s">
        <v>310</v>
      </c>
      <c r="H1699" s="6"/>
      <c r="I1699" s="7" t="n">
        <v>38261</v>
      </c>
      <c r="J1699" s="6" t="s">
        <v>19</v>
      </c>
      <c r="K1699" s="6"/>
    </row>
    <row r="1700" customFormat="false" ht="12.8" hidden="false" customHeight="false" outlineLevel="0" collapsed="false">
      <c r="A1700" s="8" t="str">
        <f aca="false">HYPERLINK("https://www.fabsurplus.com/sdi_catalog/salesItemDetails.do?id=100037")</f>
        <v>https://www.fabsurplus.com/sdi_catalog/salesItemDetails.do?id=100037</v>
      </c>
      <c r="B1700" s="8" t="s">
        <v>4007</v>
      </c>
      <c r="C1700" s="8" t="s">
        <v>3850</v>
      </c>
      <c r="D1700" s="8" t="s">
        <v>4008</v>
      </c>
      <c r="E1700" s="8" t="s">
        <v>1681</v>
      </c>
      <c r="F1700" s="8" t="s">
        <v>16</v>
      </c>
      <c r="G1700" s="8" t="s">
        <v>310</v>
      </c>
      <c r="H1700" s="8"/>
      <c r="I1700" s="9" t="n">
        <v>39234</v>
      </c>
      <c r="J1700" s="8" t="s">
        <v>19</v>
      </c>
      <c r="K1700" s="8"/>
    </row>
    <row r="1701" customFormat="false" ht="12.8" hidden="false" customHeight="false" outlineLevel="0" collapsed="false">
      <c r="A1701" s="8" t="str">
        <f aca="false">HYPERLINK("https://www.fabsurplus.com/sdi_catalog/salesItemDetails.do?id=98612")</f>
        <v>https://www.fabsurplus.com/sdi_catalog/salesItemDetails.do?id=98612</v>
      </c>
      <c r="B1701" s="8" t="s">
        <v>4009</v>
      </c>
      <c r="C1701" s="8" t="s">
        <v>3850</v>
      </c>
      <c r="D1701" s="8" t="s">
        <v>4010</v>
      </c>
      <c r="E1701" s="8" t="s">
        <v>1681</v>
      </c>
      <c r="F1701" s="8" t="s">
        <v>16</v>
      </c>
      <c r="G1701" s="8" t="s">
        <v>310</v>
      </c>
      <c r="H1701" s="8"/>
      <c r="I1701" s="9" t="n">
        <v>39234</v>
      </c>
      <c r="J1701" s="8" t="s">
        <v>19</v>
      </c>
      <c r="K1701" s="8"/>
    </row>
    <row r="1702" customFormat="false" ht="12.8" hidden="false" customHeight="false" outlineLevel="0" collapsed="false">
      <c r="A1702" s="6" t="str">
        <f aca="false">HYPERLINK("https://www.fabsurplus.com/sdi_catalog/salesItemDetails.do?id=99025")</f>
        <v>https://www.fabsurplus.com/sdi_catalog/salesItemDetails.do?id=99025</v>
      </c>
      <c r="B1702" s="6" t="s">
        <v>4011</v>
      </c>
      <c r="C1702" s="6" t="s">
        <v>3850</v>
      </c>
      <c r="D1702" s="6" t="s">
        <v>4012</v>
      </c>
      <c r="E1702" s="6" t="s">
        <v>1681</v>
      </c>
      <c r="F1702" s="6" t="s">
        <v>16</v>
      </c>
      <c r="G1702" s="6"/>
      <c r="H1702" s="6"/>
      <c r="I1702" s="7" t="n">
        <v>40360</v>
      </c>
      <c r="J1702" s="6" t="s">
        <v>19</v>
      </c>
      <c r="K1702" s="6"/>
    </row>
    <row r="1703" customFormat="false" ht="12.8" hidden="false" customHeight="false" outlineLevel="0" collapsed="false">
      <c r="A1703" s="6" t="str">
        <f aca="false">HYPERLINK("https://www.fabsurplus.com/sdi_catalog/salesItemDetails.do?id=98827")</f>
        <v>https://www.fabsurplus.com/sdi_catalog/salesItemDetails.do?id=98827</v>
      </c>
      <c r="B1703" s="6" t="s">
        <v>4013</v>
      </c>
      <c r="C1703" s="6" t="s">
        <v>3850</v>
      </c>
      <c r="D1703" s="6" t="s">
        <v>4012</v>
      </c>
      <c r="E1703" s="6" t="s">
        <v>1681</v>
      </c>
      <c r="F1703" s="6" t="s">
        <v>16</v>
      </c>
      <c r="G1703" s="6" t="s">
        <v>310</v>
      </c>
      <c r="H1703" s="6"/>
      <c r="I1703" s="7" t="n">
        <v>40360</v>
      </c>
      <c r="J1703" s="6" t="s">
        <v>19</v>
      </c>
      <c r="K1703" s="6"/>
    </row>
    <row r="1704" customFormat="false" ht="12.8" hidden="false" customHeight="false" outlineLevel="0" collapsed="false">
      <c r="A1704" s="8" t="str">
        <f aca="false">HYPERLINK("https://www.fabsurplus.com/sdi_catalog/salesItemDetails.do?id=98057")</f>
        <v>https://www.fabsurplus.com/sdi_catalog/salesItemDetails.do?id=98057</v>
      </c>
      <c r="B1704" s="8" t="s">
        <v>4014</v>
      </c>
      <c r="C1704" s="8" t="s">
        <v>4015</v>
      </c>
      <c r="D1704" s="8" t="s">
        <v>4016</v>
      </c>
      <c r="E1704" s="8" t="s">
        <v>4017</v>
      </c>
      <c r="F1704" s="8" t="s">
        <v>16</v>
      </c>
      <c r="G1704" s="8"/>
      <c r="H1704" s="8"/>
      <c r="I1704" s="8"/>
      <c r="J1704" s="8" t="s">
        <v>19</v>
      </c>
      <c r="K1704" s="8"/>
    </row>
    <row r="1705" customFormat="false" ht="12.8" hidden="false" customHeight="false" outlineLevel="0" collapsed="false">
      <c r="A1705" s="8" t="str">
        <f aca="false">HYPERLINK("https://www.fabsurplus.com/sdi_catalog/salesItemDetails.do?id=100859")</f>
        <v>https://www.fabsurplus.com/sdi_catalog/salesItemDetails.do?id=100859</v>
      </c>
      <c r="B1705" s="8" t="s">
        <v>4018</v>
      </c>
      <c r="C1705" s="8" t="s">
        <v>4019</v>
      </c>
      <c r="D1705" s="8" t="s">
        <v>2901</v>
      </c>
      <c r="E1705" s="8" t="s">
        <v>2901</v>
      </c>
      <c r="F1705" s="8" t="s">
        <v>611</v>
      </c>
      <c r="G1705" s="8" t="s">
        <v>328</v>
      </c>
      <c r="H1705" s="8"/>
      <c r="I1705" s="9" t="n">
        <v>34486</v>
      </c>
      <c r="J1705" s="8" t="s">
        <v>19</v>
      </c>
      <c r="K1705" s="8"/>
    </row>
    <row r="1706" customFormat="false" ht="12.8" hidden="false" customHeight="false" outlineLevel="0" collapsed="false">
      <c r="A1706" s="8" t="str">
        <f aca="false">HYPERLINK("https://www.fabsurplus.com/sdi_catalog/salesItemDetails.do?id=100714")</f>
        <v>https://www.fabsurplus.com/sdi_catalog/salesItemDetails.do?id=100714</v>
      </c>
      <c r="B1706" s="8" t="s">
        <v>4020</v>
      </c>
      <c r="C1706" s="8" t="s">
        <v>4021</v>
      </c>
      <c r="D1706" s="8" t="s">
        <v>4022</v>
      </c>
      <c r="E1706" s="8" t="s">
        <v>4023</v>
      </c>
      <c r="F1706" s="8" t="s">
        <v>16</v>
      </c>
      <c r="G1706" s="8" t="s">
        <v>328</v>
      </c>
      <c r="H1706" s="8"/>
      <c r="I1706" s="8"/>
      <c r="J1706" s="8" t="s">
        <v>19</v>
      </c>
      <c r="K1706" s="8"/>
    </row>
    <row r="1707" customFormat="false" ht="12.8" hidden="false" customHeight="false" outlineLevel="0" collapsed="false">
      <c r="A1707" s="6" t="str">
        <f aca="false">HYPERLINK("https://www.fabsurplus.com/sdi_catalog/salesItemDetails.do?id=100038")</f>
        <v>https://www.fabsurplus.com/sdi_catalog/salesItemDetails.do?id=100038</v>
      </c>
      <c r="B1707" s="6" t="s">
        <v>4024</v>
      </c>
      <c r="C1707" s="6" t="s">
        <v>4025</v>
      </c>
      <c r="D1707" s="6" t="s">
        <v>4026</v>
      </c>
      <c r="E1707" s="6" t="s">
        <v>4027</v>
      </c>
      <c r="F1707" s="6" t="s">
        <v>16</v>
      </c>
      <c r="G1707" s="6"/>
      <c r="H1707" s="6"/>
      <c r="I1707" s="7" t="n">
        <v>39234</v>
      </c>
      <c r="J1707" s="6" t="s">
        <v>19</v>
      </c>
      <c r="K1707" s="6"/>
    </row>
    <row r="1708" customFormat="false" ht="12.8" hidden="false" customHeight="false" outlineLevel="0" collapsed="false">
      <c r="A1708" s="6" t="str">
        <f aca="false">HYPERLINK("https://www.fabsurplus.com/sdi_catalog/salesItemDetails.do?id=98919")</f>
        <v>https://www.fabsurplus.com/sdi_catalog/salesItemDetails.do?id=98919</v>
      </c>
      <c r="B1708" s="6" t="s">
        <v>4028</v>
      </c>
      <c r="C1708" s="6" t="s">
        <v>4025</v>
      </c>
      <c r="D1708" s="6" t="s">
        <v>4029</v>
      </c>
      <c r="E1708" s="6" t="s">
        <v>4030</v>
      </c>
      <c r="F1708" s="6" t="s">
        <v>16</v>
      </c>
      <c r="G1708" s="6"/>
      <c r="H1708" s="6"/>
      <c r="I1708" s="6"/>
      <c r="J1708" s="6" t="s">
        <v>19</v>
      </c>
      <c r="K1708" s="6"/>
    </row>
    <row r="1709" customFormat="false" ht="12.8" hidden="false" customHeight="false" outlineLevel="0" collapsed="false">
      <c r="A1709" s="8" t="str">
        <f aca="false">HYPERLINK("https://www.fabsurplus.com/sdi_catalog/salesItemDetails.do?id=97074")</f>
        <v>https://www.fabsurplus.com/sdi_catalog/salesItemDetails.do?id=97074</v>
      </c>
      <c r="B1709" s="8" t="s">
        <v>4031</v>
      </c>
      <c r="C1709" s="8" t="s">
        <v>4032</v>
      </c>
      <c r="D1709" s="8" t="s">
        <v>4033</v>
      </c>
      <c r="E1709" s="8" t="s">
        <v>4034</v>
      </c>
      <c r="F1709" s="8" t="s">
        <v>16</v>
      </c>
      <c r="G1709" s="8"/>
      <c r="H1709" s="8" t="s">
        <v>33</v>
      </c>
      <c r="I1709" s="8"/>
      <c r="J1709" s="8" t="s">
        <v>19</v>
      </c>
      <c r="K1709" s="8"/>
    </row>
    <row r="1710" customFormat="false" ht="12.8" hidden="false" customHeight="false" outlineLevel="0" collapsed="false">
      <c r="A1710" s="8" t="str">
        <f aca="false">HYPERLINK("https://www.fabsurplus.com/sdi_catalog/salesItemDetails.do?id=97076")</f>
        <v>https://www.fabsurplus.com/sdi_catalog/salesItemDetails.do?id=97076</v>
      </c>
      <c r="B1710" s="8" t="s">
        <v>4035</v>
      </c>
      <c r="C1710" s="8" t="s">
        <v>4032</v>
      </c>
      <c r="D1710" s="8" t="s">
        <v>4036</v>
      </c>
      <c r="E1710" s="8" t="s">
        <v>4037</v>
      </c>
      <c r="F1710" s="8" t="s">
        <v>16</v>
      </c>
      <c r="G1710" s="8"/>
      <c r="H1710" s="8" t="s">
        <v>167</v>
      </c>
      <c r="I1710" s="8"/>
      <c r="J1710" s="8" t="s">
        <v>19</v>
      </c>
      <c r="K1710" s="8" t="s">
        <v>20</v>
      </c>
    </row>
    <row r="1711" customFormat="false" ht="12.8" hidden="false" customHeight="false" outlineLevel="0" collapsed="false">
      <c r="A1711" s="6" t="str">
        <f aca="false">HYPERLINK("https://www.fabsurplus.com/sdi_catalog/salesItemDetails.do?id=97075")</f>
        <v>https://www.fabsurplus.com/sdi_catalog/salesItemDetails.do?id=97075</v>
      </c>
      <c r="B1711" s="6" t="s">
        <v>4038</v>
      </c>
      <c r="C1711" s="6" t="s">
        <v>4032</v>
      </c>
      <c r="D1711" s="6" t="s">
        <v>4036</v>
      </c>
      <c r="E1711" s="6" t="s">
        <v>4034</v>
      </c>
      <c r="F1711" s="6" t="s">
        <v>16</v>
      </c>
      <c r="G1711" s="6"/>
      <c r="H1711" s="6" t="s">
        <v>33</v>
      </c>
      <c r="I1711" s="6"/>
      <c r="J1711" s="6" t="s">
        <v>19</v>
      </c>
      <c r="K1711" s="6"/>
    </row>
    <row r="1712" customFormat="false" ht="12.8" hidden="false" customHeight="false" outlineLevel="0" collapsed="false">
      <c r="A1712" s="6" t="str">
        <f aca="false">HYPERLINK("https://www.fabsurplus.com/sdi_catalog/salesItemDetails.do?id=100678")</f>
        <v>https://www.fabsurplus.com/sdi_catalog/salesItemDetails.do?id=100678</v>
      </c>
      <c r="B1712" s="6" t="s">
        <v>4039</v>
      </c>
      <c r="C1712" s="6" t="s">
        <v>4032</v>
      </c>
      <c r="D1712" s="6" t="s">
        <v>4040</v>
      </c>
      <c r="E1712" s="6" t="s">
        <v>4041</v>
      </c>
      <c r="F1712" s="6" t="s">
        <v>16</v>
      </c>
      <c r="G1712" s="6" t="s">
        <v>4042</v>
      </c>
      <c r="H1712" s="6"/>
      <c r="I1712" s="6"/>
      <c r="J1712" s="6" t="s">
        <v>19</v>
      </c>
      <c r="K1712" s="6"/>
    </row>
    <row r="1713" customFormat="false" ht="12.8" hidden="false" customHeight="false" outlineLevel="0" collapsed="false">
      <c r="A1713" s="6" t="str">
        <f aca="false">HYPERLINK("https://www.fabsurplus.com/sdi_catalog/salesItemDetails.do?id=98920")</f>
        <v>https://www.fabsurplus.com/sdi_catalog/salesItemDetails.do?id=98920</v>
      </c>
      <c r="B1713" s="6" t="s">
        <v>4043</v>
      </c>
      <c r="C1713" s="6" t="s">
        <v>4032</v>
      </c>
      <c r="D1713" s="6" t="s">
        <v>4044</v>
      </c>
      <c r="E1713" s="6" t="s">
        <v>4045</v>
      </c>
      <c r="F1713" s="6" t="s">
        <v>16</v>
      </c>
      <c r="G1713" s="6"/>
      <c r="H1713" s="6"/>
      <c r="I1713" s="6"/>
      <c r="J1713" s="6" t="s">
        <v>19</v>
      </c>
      <c r="K1713" s="6"/>
    </row>
    <row r="1714" customFormat="false" ht="12.8" hidden="false" customHeight="false" outlineLevel="0" collapsed="false">
      <c r="A1714" s="6" t="str">
        <f aca="false">HYPERLINK("https://www.fabsurplus.com/sdi_catalog/salesItemDetails.do?id=97106")</f>
        <v>https://www.fabsurplus.com/sdi_catalog/salesItemDetails.do?id=97106</v>
      </c>
      <c r="B1714" s="6" t="s">
        <v>4046</v>
      </c>
      <c r="C1714" s="6" t="s">
        <v>4032</v>
      </c>
      <c r="D1714" s="6" t="s">
        <v>4047</v>
      </c>
      <c r="E1714" s="6" t="s">
        <v>4048</v>
      </c>
      <c r="F1714" s="6" t="s">
        <v>16</v>
      </c>
      <c r="G1714" s="6"/>
      <c r="H1714" s="6"/>
      <c r="I1714" s="6"/>
      <c r="J1714" s="6" t="s">
        <v>19</v>
      </c>
      <c r="K1714" s="6"/>
    </row>
    <row r="1715" customFormat="false" ht="12.8" hidden="false" customHeight="false" outlineLevel="0" collapsed="false">
      <c r="A1715" s="6" t="str">
        <f aca="false">HYPERLINK("https://www.fabsurplus.com/sdi_catalog/salesItemDetails.do?id=99878")</f>
        <v>https://www.fabsurplus.com/sdi_catalog/salesItemDetails.do?id=99878</v>
      </c>
      <c r="B1715" s="6" t="s">
        <v>4049</v>
      </c>
      <c r="C1715" s="6" t="s">
        <v>4032</v>
      </c>
      <c r="D1715" s="6" t="s">
        <v>4050</v>
      </c>
      <c r="E1715" s="6" t="s">
        <v>4051</v>
      </c>
      <c r="F1715" s="6" t="s">
        <v>16</v>
      </c>
      <c r="G1715" s="6"/>
      <c r="H1715" s="6" t="s">
        <v>33</v>
      </c>
      <c r="I1715" s="6"/>
      <c r="J1715" s="6" t="s">
        <v>19</v>
      </c>
      <c r="K1715" s="6" t="s">
        <v>20</v>
      </c>
    </row>
    <row r="1716" customFormat="false" ht="12.8" hidden="false" customHeight="false" outlineLevel="0" collapsed="false">
      <c r="A1716" s="8" t="str">
        <f aca="false">HYPERLINK("https://www.fabsurplus.com/sdi_catalog/salesItemDetails.do?id=97866")</f>
        <v>https://www.fabsurplus.com/sdi_catalog/salesItemDetails.do?id=97866</v>
      </c>
      <c r="B1716" s="8" t="s">
        <v>4052</v>
      </c>
      <c r="C1716" s="8" t="s">
        <v>4032</v>
      </c>
      <c r="D1716" s="8" t="s">
        <v>4053</v>
      </c>
      <c r="E1716" s="8" t="s">
        <v>4054</v>
      </c>
      <c r="F1716" s="8" t="s">
        <v>16</v>
      </c>
      <c r="G1716" s="8"/>
      <c r="H1716" s="8"/>
      <c r="I1716" s="8"/>
      <c r="J1716" s="8" t="s">
        <v>19</v>
      </c>
      <c r="K1716" s="8"/>
    </row>
    <row r="1717" customFormat="false" ht="12.8" hidden="false" customHeight="false" outlineLevel="0" collapsed="false">
      <c r="A1717" s="8" t="str">
        <f aca="false">HYPERLINK("https://www.fabsurplus.com/sdi_catalog/salesItemDetails.do?id=99841")</f>
        <v>https://www.fabsurplus.com/sdi_catalog/salesItemDetails.do?id=99841</v>
      </c>
      <c r="B1717" s="8" t="s">
        <v>4055</v>
      </c>
      <c r="C1717" s="8" t="s">
        <v>4056</v>
      </c>
      <c r="D1717" s="8" t="s">
        <v>4057</v>
      </c>
      <c r="E1717" s="8" t="s">
        <v>4045</v>
      </c>
      <c r="F1717" s="8" t="s">
        <v>16</v>
      </c>
      <c r="G1717" s="8"/>
      <c r="H1717" s="8" t="s">
        <v>18</v>
      </c>
      <c r="I1717" s="8"/>
      <c r="J1717" s="8" t="s">
        <v>19</v>
      </c>
      <c r="K1717" s="8" t="s">
        <v>20</v>
      </c>
    </row>
    <row r="1718" customFormat="false" ht="12.8" hidden="false" customHeight="false" outlineLevel="0" collapsed="false">
      <c r="A1718" s="6" t="str">
        <f aca="false">HYPERLINK("https://www.fabsurplus.com/sdi_catalog/salesItemDetails.do?id=99840")</f>
        <v>https://www.fabsurplus.com/sdi_catalog/salesItemDetails.do?id=99840</v>
      </c>
      <c r="B1718" s="6" t="s">
        <v>4058</v>
      </c>
      <c r="C1718" s="6" t="s">
        <v>4056</v>
      </c>
      <c r="D1718" s="6" t="s">
        <v>4059</v>
      </c>
      <c r="E1718" s="6" t="s">
        <v>4060</v>
      </c>
      <c r="F1718" s="6" t="s">
        <v>16</v>
      </c>
      <c r="G1718" s="6" t="s">
        <v>372</v>
      </c>
      <c r="H1718" s="6" t="s">
        <v>18</v>
      </c>
      <c r="I1718" s="6"/>
      <c r="J1718" s="6" t="s">
        <v>19</v>
      </c>
      <c r="K1718" s="6" t="s">
        <v>20</v>
      </c>
    </row>
    <row r="1719" customFormat="false" ht="12.8" hidden="false" customHeight="false" outlineLevel="0" collapsed="false">
      <c r="A1719" s="8" t="str">
        <f aca="false">HYPERLINK("https://www.fabsurplus.com/sdi_catalog/salesItemDetails.do?id=100860")</f>
        <v>https://www.fabsurplus.com/sdi_catalog/salesItemDetails.do?id=100860</v>
      </c>
      <c r="B1719" s="8" t="s">
        <v>4061</v>
      </c>
      <c r="C1719" s="8" t="s">
        <v>4062</v>
      </c>
      <c r="D1719" s="8" t="s">
        <v>4063</v>
      </c>
      <c r="E1719" s="8" t="s">
        <v>4064</v>
      </c>
      <c r="F1719" s="8" t="s">
        <v>16</v>
      </c>
      <c r="G1719" s="8"/>
      <c r="H1719" s="8"/>
      <c r="I1719" s="9" t="n">
        <v>41791</v>
      </c>
      <c r="J1719" s="8" t="s">
        <v>19</v>
      </c>
      <c r="K1719" s="8"/>
    </row>
    <row r="1720" customFormat="false" ht="12.8" hidden="false" customHeight="false" outlineLevel="0" collapsed="false">
      <c r="A1720" s="8" t="str">
        <f aca="false">HYPERLINK("https://www.fabsurplus.com/sdi_catalog/salesItemDetails.do?id=97084")</f>
        <v>https://www.fabsurplus.com/sdi_catalog/salesItemDetails.do?id=97084</v>
      </c>
      <c r="B1720" s="8" t="s">
        <v>4065</v>
      </c>
      <c r="C1720" s="8" t="s">
        <v>4066</v>
      </c>
      <c r="D1720" s="8" t="s">
        <v>4067</v>
      </c>
      <c r="E1720" s="8" t="s">
        <v>4068</v>
      </c>
      <c r="F1720" s="8" t="s">
        <v>16</v>
      </c>
      <c r="G1720" s="8" t="s">
        <v>837</v>
      </c>
      <c r="H1720" s="8" t="s">
        <v>311</v>
      </c>
      <c r="I1720" s="8"/>
      <c r="J1720" s="8" t="s">
        <v>312</v>
      </c>
      <c r="K1720" s="8" t="s">
        <v>20</v>
      </c>
    </row>
    <row r="1721" customFormat="false" ht="12.8" hidden="false" customHeight="false" outlineLevel="0" collapsed="false">
      <c r="A1721" s="6" t="str">
        <f aca="false">HYPERLINK("https://www.fabsurplus.com/sdi_catalog/salesItemDetails.do?id=97938")</f>
        <v>https://www.fabsurplus.com/sdi_catalog/salesItemDetails.do?id=97938</v>
      </c>
      <c r="B1721" s="6" t="s">
        <v>4069</v>
      </c>
      <c r="C1721" s="6" t="s">
        <v>4070</v>
      </c>
      <c r="D1721" s="6" t="s">
        <v>4071</v>
      </c>
      <c r="E1721" s="6" t="s">
        <v>2590</v>
      </c>
      <c r="F1721" s="6" t="s">
        <v>16</v>
      </c>
      <c r="G1721" s="6" t="s">
        <v>1851</v>
      </c>
      <c r="H1721" s="6"/>
      <c r="I1721" s="6"/>
      <c r="J1721" s="6" t="s">
        <v>81</v>
      </c>
      <c r="K1721" s="6"/>
    </row>
    <row r="1722" customFormat="false" ht="12.8" hidden="false" customHeight="false" outlineLevel="0" collapsed="false">
      <c r="A1722" s="8" t="str">
        <f aca="false">HYPERLINK("https://www.fabsurplus.com/sdi_catalog/salesItemDetails.do?id=98921")</f>
        <v>https://www.fabsurplus.com/sdi_catalog/salesItemDetails.do?id=98921</v>
      </c>
      <c r="B1722" s="8" t="s">
        <v>4072</v>
      </c>
      <c r="C1722" s="8" t="s">
        <v>4073</v>
      </c>
      <c r="D1722" s="8" t="s">
        <v>4071</v>
      </c>
      <c r="E1722" s="8" t="s">
        <v>4074</v>
      </c>
      <c r="F1722" s="8" t="s">
        <v>16</v>
      </c>
      <c r="G1722" s="8"/>
      <c r="H1722" s="8"/>
      <c r="I1722" s="8"/>
      <c r="J1722" s="8" t="s">
        <v>19</v>
      </c>
      <c r="K1722" s="8"/>
    </row>
    <row r="1723" customFormat="false" ht="12.8" hidden="false" customHeight="false" outlineLevel="0" collapsed="false">
      <c r="A1723" s="8" t="str">
        <f aca="false">HYPERLINK("https://www.fabsurplus.com/sdi_catalog/salesItemDetails.do?id=97939")</f>
        <v>https://www.fabsurplus.com/sdi_catalog/salesItemDetails.do?id=97939</v>
      </c>
      <c r="B1723" s="8" t="s">
        <v>4075</v>
      </c>
      <c r="C1723" s="8" t="s">
        <v>4070</v>
      </c>
      <c r="D1723" s="8" t="s">
        <v>4076</v>
      </c>
      <c r="E1723" s="8" t="s">
        <v>4077</v>
      </c>
      <c r="F1723" s="8" t="s">
        <v>16</v>
      </c>
      <c r="G1723" s="8" t="s">
        <v>1851</v>
      </c>
      <c r="H1723" s="8"/>
      <c r="I1723" s="8"/>
      <c r="J1723" s="8" t="s">
        <v>81</v>
      </c>
      <c r="K1723" s="8"/>
    </row>
    <row r="1724" customFormat="false" ht="12.8" hidden="false" customHeight="false" outlineLevel="0" collapsed="false">
      <c r="A1724" s="6" t="str">
        <f aca="false">HYPERLINK("https://www.fabsurplus.com/sdi_catalog/salesItemDetails.do?id=98147")</f>
        <v>https://www.fabsurplus.com/sdi_catalog/salesItemDetails.do?id=98147</v>
      </c>
      <c r="B1724" s="6" t="s">
        <v>4078</v>
      </c>
      <c r="C1724" s="6" t="s">
        <v>4070</v>
      </c>
      <c r="D1724" s="6" t="s">
        <v>4079</v>
      </c>
      <c r="E1724" s="6" t="s">
        <v>4080</v>
      </c>
      <c r="F1724" s="6" t="s">
        <v>16</v>
      </c>
      <c r="G1724" s="6" t="s">
        <v>32</v>
      </c>
      <c r="H1724" s="6"/>
      <c r="I1724" s="7" t="n">
        <v>37773</v>
      </c>
      <c r="J1724" s="6" t="s">
        <v>19</v>
      </c>
      <c r="K1724" s="6"/>
    </row>
    <row r="1725" customFormat="false" ht="12.8" hidden="false" customHeight="false" outlineLevel="0" collapsed="false">
      <c r="A1725" s="6" t="str">
        <f aca="false">HYPERLINK("https://www.fabsurplus.com/sdi_catalog/salesItemDetails.do?id=97940")</f>
        <v>https://www.fabsurplus.com/sdi_catalog/salesItemDetails.do?id=97940</v>
      </c>
      <c r="B1725" s="6" t="s">
        <v>4081</v>
      </c>
      <c r="C1725" s="6" t="s">
        <v>4070</v>
      </c>
      <c r="D1725" s="6" t="s">
        <v>4082</v>
      </c>
      <c r="E1725" s="6" t="s">
        <v>4083</v>
      </c>
      <c r="F1725" s="6" t="s">
        <v>16</v>
      </c>
      <c r="G1725" s="6" t="s">
        <v>1851</v>
      </c>
      <c r="H1725" s="6"/>
      <c r="I1725" s="6"/>
      <c r="J1725" s="6" t="s">
        <v>81</v>
      </c>
      <c r="K1725" s="6"/>
    </row>
    <row r="1726" customFormat="false" ht="12.8" hidden="false" customHeight="false" outlineLevel="0" collapsed="false">
      <c r="A1726" s="6" t="str">
        <f aca="false">HYPERLINK("https://www.fabsurplus.com/sdi_catalog/salesItemDetails.do?id=97893")</f>
        <v>https://www.fabsurplus.com/sdi_catalog/salesItemDetails.do?id=97893</v>
      </c>
      <c r="B1726" s="6" t="s">
        <v>4084</v>
      </c>
      <c r="C1726" s="6" t="s">
        <v>4085</v>
      </c>
      <c r="D1726" s="6" t="s">
        <v>4086</v>
      </c>
      <c r="E1726" s="6" t="s">
        <v>4087</v>
      </c>
      <c r="F1726" s="6" t="s">
        <v>16</v>
      </c>
      <c r="G1726" s="6" t="s">
        <v>32</v>
      </c>
      <c r="H1726" s="6"/>
      <c r="I1726" s="6"/>
      <c r="J1726" s="6" t="s">
        <v>81</v>
      </c>
      <c r="K1726" s="6"/>
    </row>
    <row r="1727" customFormat="false" ht="12.8" hidden="false" customHeight="false" outlineLevel="0" collapsed="false">
      <c r="A1727" s="8" t="str">
        <f aca="false">HYPERLINK("https://www.fabsurplus.com/sdi_catalog/salesItemDetails.do?id=99842")</f>
        <v>https://www.fabsurplus.com/sdi_catalog/salesItemDetails.do?id=99842</v>
      </c>
      <c r="B1727" s="8" t="s">
        <v>4088</v>
      </c>
      <c r="C1727" s="8" t="s">
        <v>4089</v>
      </c>
      <c r="D1727" s="8" t="s">
        <v>4090</v>
      </c>
      <c r="E1727" s="8" t="s">
        <v>4091</v>
      </c>
      <c r="F1727" s="8" t="s">
        <v>16</v>
      </c>
      <c r="G1727" s="8" t="s">
        <v>162</v>
      </c>
      <c r="H1727" s="8" t="s">
        <v>18</v>
      </c>
      <c r="I1727" s="8"/>
      <c r="J1727" s="8" t="s">
        <v>19</v>
      </c>
      <c r="K1727" s="8" t="s">
        <v>20</v>
      </c>
    </row>
    <row r="1728" customFormat="false" ht="12.8" hidden="false" customHeight="false" outlineLevel="0" collapsed="false">
      <c r="A1728" s="6" t="str">
        <f aca="false">HYPERLINK("https://www.fabsurplus.com/sdi_catalog/salesItemDetails.do?id=100646")</f>
        <v>https://www.fabsurplus.com/sdi_catalog/salesItemDetails.do?id=100646</v>
      </c>
      <c r="B1728" s="6" t="s">
        <v>4092</v>
      </c>
      <c r="C1728" s="6" t="s">
        <v>4093</v>
      </c>
      <c r="D1728" s="6" t="s">
        <v>4094</v>
      </c>
      <c r="E1728" s="6" t="s">
        <v>4074</v>
      </c>
      <c r="F1728" s="6" t="s">
        <v>16</v>
      </c>
      <c r="G1728" s="6" t="s">
        <v>328</v>
      </c>
      <c r="H1728" s="6"/>
      <c r="I1728" s="6"/>
      <c r="J1728" s="6" t="s">
        <v>19</v>
      </c>
      <c r="K1728" s="6"/>
    </row>
    <row r="1729" customFormat="false" ht="12.8" hidden="false" customHeight="false" outlineLevel="0" collapsed="false">
      <c r="A1729" s="8" t="str">
        <f aca="false">HYPERLINK("https://www.fabsurplus.com/sdi_catalog/salesItemDetails.do?id=98730")</f>
        <v>https://www.fabsurplus.com/sdi_catalog/salesItemDetails.do?id=98730</v>
      </c>
      <c r="B1729" s="8" t="s">
        <v>4095</v>
      </c>
      <c r="C1729" s="8" t="s">
        <v>4096</v>
      </c>
      <c r="D1729" s="8" t="s">
        <v>4097</v>
      </c>
      <c r="E1729" s="8" t="s">
        <v>4098</v>
      </c>
      <c r="F1729" s="8" t="s">
        <v>16</v>
      </c>
      <c r="G1729" s="8" t="s">
        <v>417</v>
      </c>
      <c r="H1729" s="8" t="s">
        <v>18</v>
      </c>
      <c r="I1729" s="9" t="n">
        <v>39387</v>
      </c>
      <c r="J1729" s="8" t="s">
        <v>19</v>
      </c>
      <c r="K1729" s="8" t="s">
        <v>20</v>
      </c>
    </row>
    <row r="1730" customFormat="false" ht="12.8" hidden="false" customHeight="false" outlineLevel="0" collapsed="false">
      <c r="A1730" s="8" t="str">
        <f aca="false">HYPERLINK("https://www.fabsurplus.com/sdi_catalog/salesItemDetails.do?id=98405")</f>
        <v>https://www.fabsurplus.com/sdi_catalog/salesItemDetails.do?id=98405</v>
      </c>
      <c r="B1730" s="8" t="s">
        <v>4099</v>
      </c>
      <c r="C1730" s="8" t="s">
        <v>4100</v>
      </c>
      <c r="D1730" s="8" t="s">
        <v>4101</v>
      </c>
      <c r="E1730" s="8" t="s">
        <v>4102</v>
      </c>
      <c r="F1730" s="8" t="s">
        <v>16</v>
      </c>
      <c r="G1730" s="8" t="s">
        <v>372</v>
      </c>
      <c r="H1730" s="8"/>
      <c r="I1730" s="8"/>
      <c r="J1730" s="8" t="s">
        <v>19</v>
      </c>
      <c r="K1730" s="8"/>
    </row>
    <row r="1731" customFormat="false" ht="12.8" hidden="false" customHeight="false" outlineLevel="0" collapsed="false">
      <c r="A1731" s="8" t="str">
        <f aca="false">HYPERLINK("https://www.fabsurplus.com/sdi_catalog/salesItemDetails.do?id=97163")</f>
        <v>https://www.fabsurplus.com/sdi_catalog/salesItemDetails.do?id=97163</v>
      </c>
      <c r="B1731" s="8" t="s">
        <v>4103</v>
      </c>
      <c r="C1731" s="8" t="s">
        <v>4104</v>
      </c>
      <c r="D1731" s="8" t="s">
        <v>4105</v>
      </c>
      <c r="E1731" s="8" t="s">
        <v>2980</v>
      </c>
      <c r="F1731" s="8" t="s">
        <v>16</v>
      </c>
      <c r="G1731" s="8" t="s">
        <v>2997</v>
      </c>
      <c r="H1731" s="8"/>
      <c r="I1731" s="9" t="n">
        <v>37773</v>
      </c>
      <c r="J1731" s="8"/>
      <c r="K1731" s="8"/>
    </row>
    <row r="1732" customFormat="false" ht="12.8" hidden="false" customHeight="false" outlineLevel="0" collapsed="false">
      <c r="A1732" s="6" t="str">
        <f aca="false">HYPERLINK("https://www.fabsurplus.com/sdi_catalog/salesItemDetails.do?id=97164")</f>
        <v>https://www.fabsurplus.com/sdi_catalog/salesItemDetails.do?id=97164</v>
      </c>
      <c r="B1732" s="6" t="s">
        <v>4106</v>
      </c>
      <c r="C1732" s="6" t="s">
        <v>4104</v>
      </c>
      <c r="D1732" s="6" t="s">
        <v>4107</v>
      </c>
      <c r="E1732" s="6" t="s">
        <v>2980</v>
      </c>
      <c r="F1732" s="6" t="s">
        <v>16</v>
      </c>
      <c r="G1732" s="6" t="s">
        <v>2997</v>
      </c>
      <c r="H1732" s="6"/>
      <c r="I1732" s="7" t="n">
        <v>39600</v>
      </c>
      <c r="J1732" s="6"/>
      <c r="K1732" s="6"/>
    </row>
    <row r="1733" customFormat="false" ht="12.8" hidden="false" customHeight="false" outlineLevel="0" collapsed="false">
      <c r="A1733" s="6" t="str">
        <f aca="false">HYPERLINK("https://www.fabsurplus.com/sdi_catalog/salesItemDetails.do?id=97166")</f>
        <v>https://www.fabsurplus.com/sdi_catalog/salesItemDetails.do?id=97166</v>
      </c>
      <c r="B1733" s="6" t="s">
        <v>4108</v>
      </c>
      <c r="C1733" s="6" t="s">
        <v>4104</v>
      </c>
      <c r="D1733" s="6" t="s">
        <v>4109</v>
      </c>
      <c r="E1733" s="6" t="s">
        <v>2980</v>
      </c>
      <c r="F1733" s="6" t="s">
        <v>16</v>
      </c>
      <c r="G1733" s="6" t="s">
        <v>2997</v>
      </c>
      <c r="H1733" s="6"/>
      <c r="I1733" s="7" t="n">
        <v>39234</v>
      </c>
      <c r="J1733" s="6"/>
      <c r="K1733" s="6"/>
    </row>
    <row r="1734" customFormat="false" ht="12.8" hidden="false" customHeight="false" outlineLevel="0" collapsed="false">
      <c r="A1734" s="8" t="str">
        <f aca="false">HYPERLINK("https://www.fabsurplus.com/sdi_catalog/salesItemDetails.do?id=97165")</f>
        <v>https://www.fabsurplus.com/sdi_catalog/salesItemDetails.do?id=97165</v>
      </c>
      <c r="B1734" s="8" t="s">
        <v>4110</v>
      </c>
      <c r="C1734" s="8" t="s">
        <v>4104</v>
      </c>
      <c r="D1734" s="8" t="s">
        <v>4109</v>
      </c>
      <c r="E1734" s="8" t="s">
        <v>2980</v>
      </c>
      <c r="F1734" s="8" t="s">
        <v>16</v>
      </c>
      <c r="G1734" s="8" t="s">
        <v>2997</v>
      </c>
      <c r="H1734" s="8"/>
      <c r="I1734" s="9" t="n">
        <v>40330</v>
      </c>
      <c r="J1734" s="8"/>
      <c r="K1734" s="8"/>
    </row>
    <row r="1735" customFormat="false" ht="12.8" hidden="false" customHeight="false" outlineLevel="0" collapsed="false">
      <c r="A1735" s="8" t="str">
        <f aca="false">HYPERLINK("https://www.fabsurplus.com/sdi_catalog/salesItemDetails.do?id=97167")</f>
        <v>https://www.fabsurplus.com/sdi_catalog/salesItemDetails.do?id=97167</v>
      </c>
      <c r="B1735" s="8" t="s">
        <v>4111</v>
      </c>
      <c r="C1735" s="8" t="s">
        <v>4104</v>
      </c>
      <c r="D1735" s="8" t="s">
        <v>4112</v>
      </c>
      <c r="E1735" s="8" t="s">
        <v>2980</v>
      </c>
      <c r="F1735" s="8" t="s">
        <v>16</v>
      </c>
      <c r="G1735" s="8" t="s">
        <v>2997</v>
      </c>
      <c r="H1735" s="8"/>
      <c r="I1735" s="9" t="n">
        <v>40695</v>
      </c>
      <c r="J1735" s="8"/>
      <c r="K1735" s="8"/>
    </row>
    <row r="1736" customFormat="false" ht="12.8" hidden="false" customHeight="false" outlineLevel="0" collapsed="false">
      <c r="A1736" s="6" t="str">
        <f aca="false">HYPERLINK("https://www.fabsurplus.com/sdi_catalog/salesItemDetails.do?id=97168")</f>
        <v>https://www.fabsurplus.com/sdi_catalog/salesItemDetails.do?id=97168</v>
      </c>
      <c r="B1736" s="6" t="s">
        <v>4113</v>
      </c>
      <c r="C1736" s="6" t="s">
        <v>4104</v>
      </c>
      <c r="D1736" s="6" t="s">
        <v>4114</v>
      </c>
      <c r="E1736" s="6" t="s">
        <v>2980</v>
      </c>
      <c r="F1736" s="6" t="s">
        <v>16</v>
      </c>
      <c r="G1736" s="6" t="s">
        <v>2997</v>
      </c>
      <c r="H1736" s="6"/>
      <c r="I1736" s="7" t="n">
        <v>35582</v>
      </c>
      <c r="J1736" s="6"/>
      <c r="K1736" s="6"/>
    </row>
    <row r="1737" customFormat="false" ht="12.8" hidden="false" customHeight="false" outlineLevel="0" collapsed="false">
      <c r="A1737" s="8" t="str">
        <f aca="false">HYPERLINK("https://www.fabsurplus.com/sdi_catalog/salesItemDetails.do?id=97169")</f>
        <v>https://www.fabsurplus.com/sdi_catalog/salesItemDetails.do?id=97169</v>
      </c>
      <c r="B1737" s="8" t="s">
        <v>4115</v>
      </c>
      <c r="C1737" s="8" t="s">
        <v>4104</v>
      </c>
      <c r="D1737" s="8" t="s">
        <v>4116</v>
      </c>
      <c r="E1737" s="8" t="s">
        <v>2980</v>
      </c>
      <c r="F1737" s="8" t="s">
        <v>16</v>
      </c>
      <c r="G1737" s="8" t="s">
        <v>2997</v>
      </c>
      <c r="H1737" s="8"/>
      <c r="I1737" s="9" t="n">
        <v>35582</v>
      </c>
      <c r="J1737" s="8"/>
      <c r="K1737" s="8"/>
    </row>
    <row r="1738" customFormat="false" ht="12.8" hidden="false" customHeight="false" outlineLevel="0" collapsed="false">
      <c r="A1738" s="6" t="str">
        <f aca="false">HYPERLINK("https://www.fabsurplus.com/sdi_catalog/salesItemDetails.do?id=97170")</f>
        <v>https://www.fabsurplus.com/sdi_catalog/salesItemDetails.do?id=97170</v>
      </c>
      <c r="B1738" s="6" t="s">
        <v>4117</v>
      </c>
      <c r="C1738" s="6" t="s">
        <v>4104</v>
      </c>
      <c r="D1738" s="6" t="s">
        <v>4118</v>
      </c>
      <c r="E1738" s="6" t="s">
        <v>2980</v>
      </c>
      <c r="F1738" s="6" t="s">
        <v>16</v>
      </c>
      <c r="G1738" s="6" t="s">
        <v>2997</v>
      </c>
      <c r="H1738" s="6"/>
      <c r="I1738" s="7" t="n">
        <v>41791</v>
      </c>
      <c r="J1738" s="6"/>
      <c r="K1738" s="6"/>
    </row>
    <row r="1739" customFormat="false" ht="12.8" hidden="false" customHeight="false" outlineLevel="0" collapsed="false">
      <c r="A1739" s="8" t="str">
        <f aca="false">HYPERLINK("https://www.fabsurplus.com/sdi_catalog/salesItemDetails.do?id=97172")</f>
        <v>https://www.fabsurplus.com/sdi_catalog/salesItemDetails.do?id=97172</v>
      </c>
      <c r="B1739" s="8" t="s">
        <v>4119</v>
      </c>
      <c r="C1739" s="8" t="s">
        <v>4104</v>
      </c>
      <c r="D1739" s="8" t="s">
        <v>4120</v>
      </c>
      <c r="E1739" s="8" t="s">
        <v>2980</v>
      </c>
      <c r="F1739" s="8" t="s">
        <v>16</v>
      </c>
      <c r="G1739" s="8" t="s">
        <v>2997</v>
      </c>
      <c r="H1739" s="8"/>
      <c r="I1739" s="9" t="n">
        <v>38139</v>
      </c>
      <c r="J1739" s="8"/>
      <c r="K1739" s="8"/>
    </row>
    <row r="1740" customFormat="false" ht="12.8" hidden="false" customHeight="false" outlineLevel="0" collapsed="false">
      <c r="A1740" s="6" t="str">
        <f aca="false">HYPERLINK("https://www.fabsurplus.com/sdi_catalog/salesItemDetails.do?id=97173")</f>
        <v>https://www.fabsurplus.com/sdi_catalog/salesItemDetails.do?id=97173</v>
      </c>
      <c r="B1740" s="6" t="s">
        <v>4121</v>
      </c>
      <c r="C1740" s="6" t="s">
        <v>4104</v>
      </c>
      <c r="D1740" s="6" t="s">
        <v>4122</v>
      </c>
      <c r="E1740" s="6" t="s">
        <v>2980</v>
      </c>
      <c r="F1740" s="6" t="s">
        <v>16</v>
      </c>
      <c r="G1740" s="6" t="s">
        <v>2997</v>
      </c>
      <c r="H1740" s="6"/>
      <c r="I1740" s="7" t="n">
        <v>35947</v>
      </c>
      <c r="J1740" s="6"/>
      <c r="K1740" s="6"/>
    </row>
    <row r="1741" customFormat="false" ht="12.8" hidden="false" customHeight="false" outlineLevel="0" collapsed="false">
      <c r="A1741" s="8" t="str">
        <f aca="false">HYPERLINK("https://www.fabsurplus.com/sdi_catalog/salesItemDetails.do?id=100362")</f>
        <v>https://www.fabsurplus.com/sdi_catalog/salesItemDetails.do?id=100362</v>
      </c>
      <c r="B1741" s="8" t="s">
        <v>4123</v>
      </c>
      <c r="C1741" s="8" t="s">
        <v>4124</v>
      </c>
      <c r="D1741" s="8" t="s">
        <v>4125</v>
      </c>
      <c r="E1741" s="8" t="s">
        <v>4126</v>
      </c>
      <c r="F1741" s="8" t="s">
        <v>16</v>
      </c>
      <c r="G1741" s="8"/>
      <c r="H1741" s="8" t="s">
        <v>18</v>
      </c>
      <c r="I1741" s="9" t="n">
        <v>40695</v>
      </c>
      <c r="J1741" s="8" t="s">
        <v>19</v>
      </c>
      <c r="K1741" s="8"/>
    </row>
    <row r="1742" customFormat="false" ht="12.8" hidden="false" customHeight="false" outlineLevel="0" collapsed="false">
      <c r="A1742" s="6" t="str">
        <f aca="false">HYPERLINK("https://www.fabsurplus.com/sdi_catalog/salesItemDetails.do?id=97941")</f>
        <v>https://www.fabsurplus.com/sdi_catalog/salesItemDetails.do?id=97941</v>
      </c>
      <c r="B1742" s="6" t="s">
        <v>4127</v>
      </c>
      <c r="C1742" s="6" t="s">
        <v>4128</v>
      </c>
      <c r="D1742" s="6" t="s">
        <v>4129</v>
      </c>
      <c r="E1742" s="6" t="s">
        <v>4130</v>
      </c>
      <c r="F1742" s="6" t="s">
        <v>611</v>
      </c>
      <c r="G1742" s="6" t="s">
        <v>1851</v>
      </c>
      <c r="H1742" s="6"/>
      <c r="I1742" s="6"/>
      <c r="J1742" s="6" t="s">
        <v>81</v>
      </c>
      <c r="K1742" s="6"/>
    </row>
    <row r="1743" customFormat="false" ht="12.8" hidden="false" customHeight="false" outlineLevel="0" collapsed="false">
      <c r="A1743" s="8" t="str">
        <f aca="false">HYPERLINK("https://www.fabsurplus.com/sdi_catalog/salesItemDetails.do?id=100647")</f>
        <v>https://www.fabsurplus.com/sdi_catalog/salesItemDetails.do?id=100647</v>
      </c>
      <c r="B1743" s="8" t="s">
        <v>4131</v>
      </c>
      <c r="C1743" s="8" t="s">
        <v>4128</v>
      </c>
      <c r="D1743" s="8" t="s">
        <v>4132</v>
      </c>
      <c r="E1743" s="8" t="s">
        <v>4133</v>
      </c>
      <c r="F1743" s="8" t="s">
        <v>16</v>
      </c>
      <c r="G1743" s="8" t="s">
        <v>328</v>
      </c>
      <c r="H1743" s="8"/>
      <c r="I1743" s="8"/>
      <c r="J1743" s="8" t="s">
        <v>19</v>
      </c>
      <c r="K1743" s="8"/>
    </row>
    <row r="1744" customFormat="false" ht="12.8" hidden="false" customHeight="false" outlineLevel="0" collapsed="false">
      <c r="A1744" s="8" t="str">
        <f aca="false">HYPERLINK("https://www.fabsurplus.com/sdi_catalog/salesItemDetails.do?id=97698")</f>
        <v>https://www.fabsurplus.com/sdi_catalog/salesItemDetails.do?id=97698</v>
      </c>
      <c r="B1744" s="8" t="s">
        <v>4134</v>
      </c>
      <c r="C1744" s="8" t="s">
        <v>4135</v>
      </c>
      <c r="D1744" s="8" t="s">
        <v>4136</v>
      </c>
      <c r="E1744" s="8" t="s">
        <v>4137</v>
      </c>
      <c r="F1744" s="8" t="s">
        <v>16</v>
      </c>
      <c r="G1744" s="8" t="s">
        <v>228</v>
      </c>
      <c r="H1744" s="8"/>
      <c r="I1744" s="8"/>
      <c r="J1744" s="8" t="s">
        <v>19</v>
      </c>
      <c r="K1744" s="8"/>
    </row>
    <row r="1745" customFormat="false" ht="12.8" hidden="false" customHeight="false" outlineLevel="0" collapsed="false">
      <c r="A1745" s="8" t="str">
        <f aca="false">HYPERLINK("https://www.fabsurplus.com/sdi_catalog/salesItemDetails.do?id=98406")</f>
        <v>https://www.fabsurplus.com/sdi_catalog/salesItemDetails.do?id=98406</v>
      </c>
      <c r="B1745" s="8" t="s">
        <v>4138</v>
      </c>
      <c r="C1745" s="8" t="s">
        <v>4139</v>
      </c>
      <c r="D1745" s="8" t="s">
        <v>4140</v>
      </c>
      <c r="E1745" s="8" t="s">
        <v>4141</v>
      </c>
      <c r="F1745" s="8" t="s">
        <v>211</v>
      </c>
      <c r="G1745" s="8" t="s">
        <v>372</v>
      </c>
      <c r="H1745" s="8"/>
      <c r="I1745" s="8"/>
      <c r="J1745" s="8" t="s">
        <v>19</v>
      </c>
      <c r="K1745" s="8"/>
    </row>
    <row r="1746" customFormat="false" ht="12.8" hidden="false" customHeight="false" outlineLevel="0" collapsed="false">
      <c r="A1746" s="8" t="str">
        <f aca="false">HYPERLINK("https://www.fabsurplus.com/sdi_catalog/salesItemDetails.do?id=98148")</f>
        <v>https://www.fabsurplus.com/sdi_catalog/salesItemDetails.do?id=98148</v>
      </c>
      <c r="B1746" s="8" t="s">
        <v>4142</v>
      </c>
      <c r="C1746" s="8" t="s">
        <v>4143</v>
      </c>
      <c r="D1746" s="8" t="s">
        <v>4144</v>
      </c>
      <c r="E1746" s="8" t="s">
        <v>4145</v>
      </c>
      <c r="F1746" s="8" t="s">
        <v>16</v>
      </c>
      <c r="G1746" s="8" t="s">
        <v>310</v>
      </c>
      <c r="H1746" s="8"/>
      <c r="I1746" s="9" t="n">
        <v>38869</v>
      </c>
      <c r="J1746" s="8" t="s">
        <v>19</v>
      </c>
      <c r="K1746" s="8"/>
    </row>
    <row r="1747" customFormat="false" ht="12.8" hidden="false" customHeight="false" outlineLevel="0" collapsed="false">
      <c r="A1747" s="8" t="str">
        <f aca="false">HYPERLINK("https://www.fabsurplus.com/sdi_catalog/salesItemDetails.do?id=100218")</f>
        <v>https://www.fabsurplus.com/sdi_catalog/salesItemDetails.do?id=100218</v>
      </c>
      <c r="B1747" s="8" t="s">
        <v>4146</v>
      </c>
      <c r="C1747" s="8" t="s">
        <v>4143</v>
      </c>
      <c r="D1747" s="8" t="s">
        <v>4147</v>
      </c>
      <c r="E1747" s="8" t="s">
        <v>2050</v>
      </c>
      <c r="F1747" s="8" t="s">
        <v>16</v>
      </c>
      <c r="G1747" s="8"/>
      <c r="H1747" s="8"/>
      <c r="I1747" s="9" t="n">
        <v>38504</v>
      </c>
      <c r="J1747" s="8" t="s">
        <v>19</v>
      </c>
      <c r="K1747" s="8"/>
    </row>
    <row r="1748" customFormat="false" ht="12.8" hidden="false" customHeight="false" outlineLevel="0" collapsed="false">
      <c r="A1748" s="6" t="str">
        <f aca="false">HYPERLINK("https://www.fabsurplus.com/sdi_catalog/salesItemDetails.do?id=98149")</f>
        <v>https://www.fabsurplus.com/sdi_catalog/salesItemDetails.do?id=98149</v>
      </c>
      <c r="B1748" s="6" t="s">
        <v>4148</v>
      </c>
      <c r="C1748" s="6" t="s">
        <v>4143</v>
      </c>
      <c r="D1748" s="6" t="s">
        <v>4149</v>
      </c>
      <c r="E1748" s="6" t="s">
        <v>1798</v>
      </c>
      <c r="F1748" s="6" t="s">
        <v>16</v>
      </c>
      <c r="G1748" s="6" t="s">
        <v>310</v>
      </c>
      <c r="H1748" s="6"/>
      <c r="I1748" s="7" t="n">
        <v>38139</v>
      </c>
      <c r="J1748" s="6" t="s">
        <v>19</v>
      </c>
      <c r="K1748" s="6"/>
    </row>
    <row r="1749" customFormat="false" ht="12.8" hidden="false" customHeight="false" outlineLevel="0" collapsed="false">
      <c r="A1749" s="8" t="str">
        <f aca="false">HYPERLINK("https://www.fabsurplus.com/sdi_catalog/salesItemDetails.do?id=98828")</f>
        <v>https://www.fabsurplus.com/sdi_catalog/salesItemDetails.do?id=98828</v>
      </c>
      <c r="B1749" s="8" t="s">
        <v>4150</v>
      </c>
      <c r="C1749" s="8" t="s">
        <v>4151</v>
      </c>
      <c r="D1749" s="8" t="s">
        <v>4152</v>
      </c>
      <c r="E1749" s="8" t="s">
        <v>2036</v>
      </c>
      <c r="F1749" s="8" t="s">
        <v>16</v>
      </c>
      <c r="G1749" s="8" t="s">
        <v>310</v>
      </c>
      <c r="H1749" s="8" t="s">
        <v>18</v>
      </c>
      <c r="I1749" s="9" t="n">
        <v>40483</v>
      </c>
      <c r="J1749" s="8" t="s">
        <v>19</v>
      </c>
      <c r="K1749" s="8" t="s">
        <v>20</v>
      </c>
    </row>
    <row r="1750" customFormat="false" ht="12.8" hidden="false" customHeight="false" outlineLevel="0" collapsed="false">
      <c r="A1750" s="8" t="str">
        <f aca="false">HYPERLINK("https://www.fabsurplus.com/sdi_catalog/salesItemDetails.do?id=99026")</f>
        <v>https://www.fabsurplus.com/sdi_catalog/salesItemDetails.do?id=99026</v>
      </c>
      <c r="B1750" s="8" t="s">
        <v>4153</v>
      </c>
      <c r="C1750" s="8" t="s">
        <v>4151</v>
      </c>
      <c r="D1750" s="8" t="s">
        <v>4152</v>
      </c>
      <c r="E1750" s="8" t="s">
        <v>1798</v>
      </c>
      <c r="F1750" s="8" t="s">
        <v>16</v>
      </c>
      <c r="G1750" s="8" t="s">
        <v>310</v>
      </c>
      <c r="H1750" s="8"/>
      <c r="I1750" s="9" t="n">
        <v>39326</v>
      </c>
      <c r="J1750" s="8" t="s">
        <v>19</v>
      </c>
      <c r="K1750" s="8"/>
    </row>
    <row r="1751" customFormat="false" ht="12.8" hidden="false" customHeight="false" outlineLevel="0" collapsed="false">
      <c r="A1751" s="6" t="str">
        <f aca="false">HYPERLINK("https://www.fabsurplus.com/sdi_catalog/salesItemDetails.do?id=98282")</f>
        <v>https://www.fabsurplus.com/sdi_catalog/salesItemDetails.do?id=98282</v>
      </c>
      <c r="B1751" s="6" t="s">
        <v>4154</v>
      </c>
      <c r="C1751" s="6" t="s">
        <v>4151</v>
      </c>
      <c r="D1751" s="6" t="s">
        <v>4152</v>
      </c>
      <c r="E1751" s="6" t="s">
        <v>1798</v>
      </c>
      <c r="F1751" s="6" t="s">
        <v>16</v>
      </c>
      <c r="G1751" s="6" t="s">
        <v>310</v>
      </c>
      <c r="H1751" s="6"/>
      <c r="I1751" s="7" t="n">
        <v>38869</v>
      </c>
      <c r="J1751" s="6" t="s">
        <v>19</v>
      </c>
      <c r="K1751" s="6"/>
    </row>
    <row r="1752" customFormat="false" ht="12.8" hidden="false" customHeight="false" outlineLevel="0" collapsed="false">
      <c r="A1752" s="8" t="str">
        <f aca="false">HYPERLINK("https://www.fabsurplus.com/sdi_catalog/salesItemDetails.do?id=98281")</f>
        <v>https://www.fabsurplus.com/sdi_catalog/salesItemDetails.do?id=98281</v>
      </c>
      <c r="B1752" s="8" t="s">
        <v>4155</v>
      </c>
      <c r="C1752" s="8" t="s">
        <v>4151</v>
      </c>
      <c r="D1752" s="8" t="s">
        <v>4152</v>
      </c>
      <c r="E1752" s="8" t="s">
        <v>1798</v>
      </c>
      <c r="F1752" s="8" t="s">
        <v>16</v>
      </c>
      <c r="G1752" s="8" t="s">
        <v>310</v>
      </c>
      <c r="H1752" s="8"/>
      <c r="I1752" s="9" t="n">
        <v>38869</v>
      </c>
      <c r="J1752" s="8" t="s">
        <v>19</v>
      </c>
      <c r="K1752" s="8"/>
    </row>
    <row r="1753" customFormat="false" ht="12.8" hidden="false" customHeight="false" outlineLevel="0" collapsed="false">
      <c r="A1753" s="6" t="str">
        <f aca="false">HYPERLINK("https://www.fabsurplus.com/sdi_catalog/salesItemDetails.do?id=98151")</f>
        <v>https://www.fabsurplus.com/sdi_catalog/salesItemDetails.do?id=98151</v>
      </c>
      <c r="B1753" s="6" t="s">
        <v>4156</v>
      </c>
      <c r="C1753" s="6" t="s">
        <v>4143</v>
      </c>
      <c r="D1753" s="6" t="s">
        <v>4157</v>
      </c>
      <c r="E1753" s="6" t="s">
        <v>1798</v>
      </c>
      <c r="F1753" s="6" t="s">
        <v>16</v>
      </c>
      <c r="G1753" s="6" t="s">
        <v>310</v>
      </c>
      <c r="H1753" s="6"/>
      <c r="I1753" s="7" t="n">
        <v>39234</v>
      </c>
      <c r="J1753" s="6" t="s">
        <v>19</v>
      </c>
      <c r="K1753" s="6"/>
    </row>
    <row r="1754" customFormat="false" ht="12.8" hidden="false" customHeight="false" outlineLevel="0" collapsed="false">
      <c r="A1754" s="8" t="str">
        <f aca="false">HYPERLINK("https://www.fabsurplus.com/sdi_catalog/salesItemDetails.do?id=98150")</f>
        <v>https://www.fabsurplus.com/sdi_catalog/salesItemDetails.do?id=98150</v>
      </c>
      <c r="B1754" s="8" t="s">
        <v>4158</v>
      </c>
      <c r="C1754" s="8" t="s">
        <v>4143</v>
      </c>
      <c r="D1754" s="8" t="s">
        <v>4157</v>
      </c>
      <c r="E1754" s="8" t="s">
        <v>1798</v>
      </c>
      <c r="F1754" s="8" t="s">
        <v>16</v>
      </c>
      <c r="G1754" s="8" t="s">
        <v>310</v>
      </c>
      <c r="H1754" s="8"/>
      <c r="I1754" s="9" t="n">
        <v>38139</v>
      </c>
      <c r="J1754" s="8" t="s">
        <v>19</v>
      </c>
      <c r="K1754" s="8"/>
    </row>
    <row r="1755" customFormat="false" ht="12.8" hidden="false" customHeight="false" outlineLevel="0" collapsed="false">
      <c r="A1755" s="6" t="str">
        <f aca="false">HYPERLINK("https://www.fabsurplus.com/sdi_catalog/salesItemDetails.do?id=98004")</f>
        <v>https://www.fabsurplus.com/sdi_catalog/salesItemDetails.do?id=98004</v>
      </c>
      <c r="B1755" s="6" t="s">
        <v>4159</v>
      </c>
      <c r="C1755" s="6" t="s">
        <v>4151</v>
      </c>
      <c r="D1755" s="6" t="s">
        <v>4152</v>
      </c>
      <c r="E1755" s="6" t="s">
        <v>4160</v>
      </c>
      <c r="F1755" s="6" t="s">
        <v>16</v>
      </c>
      <c r="G1755" s="6" t="s">
        <v>310</v>
      </c>
      <c r="H1755" s="6"/>
      <c r="I1755" s="7" t="n">
        <v>40695</v>
      </c>
      <c r="J1755" s="6" t="s">
        <v>19</v>
      </c>
      <c r="K1755" s="6"/>
    </row>
    <row r="1756" customFormat="false" ht="12.8" hidden="false" customHeight="false" outlineLevel="0" collapsed="false">
      <c r="A1756" s="8" t="str">
        <f aca="false">HYPERLINK("https://www.fabsurplus.com/sdi_catalog/salesItemDetails.do?id=98152")</f>
        <v>https://www.fabsurplus.com/sdi_catalog/salesItemDetails.do?id=98152</v>
      </c>
      <c r="B1756" s="8" t="s">
        <v>4161</v>
      </c>
      <c r="C1756" s="8" t="s">
        <v>4143</v>
      </c>
      <c r="D1756" s="8" t="s">
        <v>4162</v>
      </c>
      <c r="E1756" s="8" t="s">
        <v>4163</v>
      </c>
      <c r="F1756" s="8" t="s">
        <v>16</v>
      </c>
      <c r="G1756" s="8" t="s">
        <v>310</v>
      </c>
      <c r="H1756" s="8"/>
      <c r="I1756" s="9" t="n">
        <v>41061</v>
      </c>
      <c r="J1756" s="8" t="s">
        <v>19</v>
      </c>
      <c r="K1756" s="8"/>
    </row>
    <row r="1757" customFormat="false" ht="12.8" hidden="false" customHeight="false" outlineLevel="0" collapsed="false">
      <c r="A1757" s="8" t="str">
        <f aca="false">HYPERLINK("https://www.fabsurplus.com/sdi_catalog/salesItemDetails.do?id=98283")</f>
        <v>https://www.fabsurplus.com/sdi_catalog/salesItemDetails.do?id=98283</v>
      </c>
      <c r="B1757" s="8" t="s">
        <v>4164</v>
      </c>
      <c r="C1757" s="8" t="s">
        <v>4151</v>
      </c>
      <c r="D1757" s="8" t="s">
        <v>4165</v>
      </c>
      <c r="E1757" s="8" t="s">
        <v>4166</v>
      </c>
      <c r="F1757" s="8" t="s">
        <v>16</v>
      </c>
      <c r="G1757" s="8" t="s">
        <v>310</v>
      </c>
      <c r="H1757" s="8"/>
      <c r="I1757" s="9" t="n">
        <v>40695</v>
      </c>
      <c r="J1757" s="8" t="s">
        <v>19</v>
      </c>
      <c r="K1757" s="8"/>
    </row>
    <row r="1758" customFormat="false" ht="12.8" hidden="false" customHeight="false" outlineLevel="0" collapsed="false">
      <c r="A1758" s="6" t="str">
        <f aca="false">HYPERLINK("https://www.fabsurplus.com/sdi_catalog/salesItemDetails.do?id=98284")</f>
        <v>https://www.fabsurplus.com/sdi_catalog/salesItemDetails.do?id=98284</v>
      </c>
      <c r="B1758" s="6" t="s">
        <v>4167</v>
      </c>
      <c r="C1758" s="6" t="s">
        <v>4151</v>
      </c>
      <c r="D1758" s="6" t="s">
        <v>4165</v>
      </c>
      <c r="E1758" s="6" t="s">
        <v>1450</v>
      </c>
      <c r="F1758" s="6" t="s">
        <v>16</v>
      </c>
      <c r="G1758" s="6" t="s">
        <v>310</v>
      </c>
      <c r="H1758" s="6"/>
      <c r="I1758" s="6"/>
      <c r="J1758" s="6" t="s">
        <v>19</v>
      </c>
      <c r="K1758" s="6"/>
    </row>
    <row r="1759" customFormat="false" ht="12.8" hidden="false" customHeight="false" outlineLevel="0" collapsed="false">
      <c r="A1759" s="6" t="str">
        <f aca="false">HYPERLINK("https://www.fabsurplus.com/sdi_catalog/salesItemDetails.do?id=98829")</f>
        <v>https://www.fabsurplus.com/sdi_catalog/salesItemDetails.do?id=98829</v>
      </c>
      <c r="B1759" s="6" t="s">
        <v>4168</v>
      </c>
      <c r="C1759" s="6" t="s">
        <v>4151</v>
      </c>
      <c r="D1759" s="6" t="s">
        <v>4169</v>
      </c>
      <c r="E1759" s="6" t="s">
        <v>1450</v>
      </c>
      <c r="F1759" s="6" t="s">
        <v>16</v>
      </c>
      <c r="G1759" s="6" t="s">
        <v>310</v>
      </c>
      <c r="H1759" s="6"/>
      <c r="I1759" s="7" t="n">
        <v>40664</v>
      </c>
      <c r="J1759" s="6" t="s">
        <v>19</v>
      </c>
      <c r="K1759" s="6"/>
    </row>
    <row r="1760" customFormat="false" ht="12.8" hidden="false" customHeight="false" outlineLevel="0" collapsed="false">
      <c r="A1760" s="8" t="str">
        <f aca="false">HYPERLINK("https://www.fabsurplus.com/sdi_catalog/salesItemDetails.do?id=98830")</f>
        <v>https://www.fabsurplus.com/sdi_catalog/salesItemDetails.do?id=98830</v>
      </c>
      <c r="B1760" s="8" t="s">
        <v>4170</v>
      </c>
      <c r="C1760" s="8" t="s">
        <v>4151</v>
      </c>
      <c r="D1760" s="8" t="s">
        <v>4171</v>
      </c>
      <c r="E1760" s="8" t="s">
        <v>4166</v>
      </c>
      <c r="F1760" s="8" t="s">
        <v>16</v>
      </c>
      <c r="G1760" s="8" t="s">
        <v>310</v>
      </c>
      <c r="H1760" s="8"/>
      <c r="I1760" s="9" t="n">
        <v>40817</v>
      </c>
      <c r="J1760" s="8" t="s">
        <v>19</v>
      </c>
      <c r="K1760" s="8"/>
    </row>
    <row r="1761" customFormat="false" ht="12.8" hidden="false" customHeight="false" outlineLevel="0" collapsed="false">
      <c r="A1761" s="6" t="str">
        <f aca="false">HYPERLINK("https://www.fabsurplus.com/sdi_catalog/salesItemDetails.do?id=98288")</f>
        <v>https://www.fabsurplus.com/sdi_catalog/salesItemDetails.do?id=98288</v>
      </c>
      <c r="B1761" s="6" t="s">
        <v>4172</v>
      </c>
      <c r="C1761" s="6" t="s">
        <v>4151</v>
      </c>
      <c r="D1761" s="6" t="s">
        <v>4173</v>
      </c>
      <c r="E1761" s="6" t="s">
        <v>4166</v>
      </c>
      <c r="F1761" s="6" t="s">
        <v>16</v>
      </c>
      <c r="G1761" s="6" t="s">
        <v>310</v>
      </c>
      <c r="H1761" s="6"/>
      <c r="I1761" s="7" t="n">
        <v>41061</v>
      </c>
      <c r="J1761" s="6" t="s">
        <v>19</v>
      </c>
      <c r="K1761" s="6"/>
    </row>
    <row r="1762" customFormat="false" ht="12.8" hidden="false" customHeight="false" outlineLevel="0" collapsed="false">
      <c r="A1762" s="8" t="str">
        <f aca="false">HYPERLINK("https://www.fabsurplus.com/sdi_catalog/salesItemDetails.do?id=98287")</f>
        <v>https://www.fabsurplus.com/sdi_catalog/salesItemDetails.do?id=98287</v>
      </c>
      <c r="B1762" s="8" t="s">
        <v>4174</v>
      </c>
      <c r="C1762" s="8" t="s">
        <v>4151</v>
      </c>
      <c r="D1762" s="8" t="s">
        <v>4173</v>
      </c>
      <c r="E1762" s="8" t="s">
        <v>4166</v>
      </c>
      <c r="F1762" s="8" t="s">
        <v>16</v>
      </c>
      <c r="G1762" s="8" t="s">
        <v>310</v>
      </c>
      <c r="H1762" s="8"/>
      <c r="I1762" s="9" t="n">
        <v>41061</v>
      </c>
      <c r="J1762" s="8" t="s">
        <v>19</v>
      </c>
      <c r="K1762" s="8"/>
    </row>
    <row r="1763" customFormat="false" ht="12.8" hidden="false" customHeight="false" outlineLevel="0" collapsed="false">
      <c r="A1763" s="6" t="str">
        <f aca="false">HYPERLINK("https://www.fabsurplus.com/sdi_catalog/salesItemDetails.do?id=98286")</f>
        <v>https://www.fabsurplus.com/sdi_catalog/salesItemDetails.do?id=98286</v>
      </c>
      <c r="B1763" s="6" t="s">
        <v>4175</v>
      </c>
      <c r="C1763" s="6" t="s">
        <v>4151</v>
      </c>
      <c r="D1763" s="6" t="s">
        <v>4173</v>
      </c>
      <c r="E1763" s="6" t="s">
        <v>4166</v>
      </c>
      <c r="F1763" s="6" t="s">
        <v>16</v>
      </c>
      <c r="G1763" s="6" t="s">
        <v>310</v>
      </c>
      <c r="H1763" s="6"/>
      <c r="I1763" s="7" t="n">
        <v>40695</v>
      </c>
      <c r="J1763" s="6" t="s">
        <v>19</v>
      </c>
      <c r="K1763" s="6"/>
    </row>
    <row r="1764" customFormat="false" ht="12.8" hidden="false" customHeight="false" outlineLevel="0" collapsed="false">
      <c r="A1764" s="8" t="str">
        <f aca="false">HYPERLINK("https://www.fabsurplus.com/sdi_catalog/salesItemDetails.do?id=98285")</f>
        <v>https://www.fabsurplus.com/sdi_catalog/salesItemDetails.do?id=98285</v>
      </c>
      <c r="B1764" s="8" t="s">
        <v>4176</v>
      </c>
      <c r="C1764" s="8" t="s">
        <v>4151</v>
      </c>
      <c r="D1764" s="8" t="s">
        <v>4173</v>
      </c>
      <c r="E1764" s="8" t="s">
        <v>4166</v>
      </c>
      <c r="F1764" s="8" t="s">
        <v>16</v>
      </c>
      <c r="G1764" s="8" t="s">
        <v>310</v>
      </c>
      <c r="H1764" s="8"/>
      <c r="I1764" s="9" t="n">
        <v>40695</v>
      </c>
      <c r="J1764" s="8" t="s">
        <v>19</v>
      </c>
      <c r="K1764" s="8"/>
    </row>
    <row r="1765" customFormat="false" ht="12.8" hidden="false" customHeight="false" outlineLevel="0" collapsed="false">
      <c r="A1765" s="8" t="str">
        <f aca="false">HYPERLINK("https://www.fabsurplus.com/sdi_catalog/salesItemDetails.do?id=100732")</f>
        <v>https://www.fabsurplus.com/sdi_catalog/salesItemDetails.do?id=100732</v>
      </c>
      <c r="B1765" s="8" t="s">
        <v>4177</v>
      </c>
      <c r="C1765" s="8" t="s">
        <v>4178</v>
      </c>
      <c r="D1765" s="8" t="s">
        <v>4179</v>
      </c>
      <c r="E1765" s="8" t="s">
        <v>4180</v>
      </c>
      <c r="F1765" s="8" t="s">
        <v>611</v>
      </c>
      <c r="G1765" s="8"/>
      <c r="H1765" s="8"/>
      <c r="I1765" s="8"/>
      <c r="J1765" s="8" t="s">
        <v>19</v>
      </c>
      <c r="K1765" s="8"/>
    </row>
    <row r="1766" customFormat="false" ht="12.8" hidden="false" customHeight="false" outlineLevel="0" collapsed="false">
      <c r="A1766" s="6" t="str">
        <f aca="false">HYPERLINK("https://www.fabsurplus.com/sdi_catalog/salesItemDetails.do?id=98545")</f>
        <v>https://www.fabsurplus.com/sdi_catalog/salesItemDetails.do?id=98545</v>
      </c>
      <c r="B1766" s="6" t="s">
        <v>4181</v>
      </c>
      <c r="C1766" s="6" t="s">
        <v>4182</v>
      </c>
      <c r="D1766" s="6" t="s">
        <v>4183</v>
      </c>
      <c r="E1766" s="6" t="s">
        <v>2980</v>
      </c>
      <c r="F1766" s="6" t="s">
        <v>16</v>
      </c>
      <c r="G1766" s="6"/>
      <c r="H1766" s="6"/>
      <c r="I1766" s="7" t="n">
        <v>32295</v>
      </c>
      <c r="J1766" s="6" t="s">
        <v>19</v>
      </c>
      <c r="K1766" s="6"/>
    </row>
    <row r="1767" customFormat="false" ht="12.8" hidden="false" customHeight="false" outlineLevel="0" collapsed="false">
      <c r="A1767" s="8" t="str">
        <f aca="false">HYPERLINK("https://www.fabsurplus.com/sdi_catalog/salesItemDetails.do?id=98351")</f>
        <v>https://www.fabsurplus.com/sdi_catalog/salesItemDetails.do?id=98351</v>
      </c>
      <c r="B1767" s="8" t="s">
        <v>4184</v>
      </c>
      <c r="C1767" s="8" t="s">
        <v>4185</v>
      </c>
      <c r="D1767" s="8" t="s">
        <v>4186</v>
      </c>
      <c r="E1767" s="8" t="s">
        <v>4187</v>
      </c>
      <c r="F1767" s="8" t="s">
        <v>16</v>
      </c>
      <c r="G1767" s="8" t="s">
        <v>32</v>
      </c>
      <c r="H1767" s="8"/>
      <c r="I1767" s="8"/>
      <c r="J1767" s="8" t="s">
        <v>81</v>
      </c>
      <c r="K1767" s="8"/>
    </row>
    <row r="1768" customFormat="false" ht="12.8" hidden="false" customHeight="false" outlineLevel="0" collapsed="false">
      <c r="A1768" s="8" t="str">
        <f aca="false">HYPERLINK("https://www.fabsurplus.com/sdi_catalog/salesItemDetails.do?id=98020")</f>
        <v>https://www.fabsurplus.com/sdi_catalog/salesItemDetails.do?id=98020</v>
      </c>
      <c r="B1768" s="8" t="s">
        <v>4188</v>
      </c>
      <c r="C1768" s="8" t="s">
        <v>4189</v>
      </c>
      <c r="D1768" s="8" t="s">
        <v>4190</v>
      </c>
      <c r="E1768" s="8" t="s">
        <v>4191</v>
      </c>
      <c r="F1768" s="8" t="s">
        <v>16</v>
      </c>
      <c r="G1768" s="8"/>
      <c r="H1768" s="8"/>
      <c r="I1768" s="8"/>
      <c r="J1768" s="8" t="s">
        <v>19</v>
      </c>
      <c r="K1768" s="8"/>
    </row>
    <row r="1769" customFormat="false" ht="12.8" hidden="false" customHeight="false" outlineLevel="0" collapsed="false">
      <c r="A1769" s="8" t="str">
        <f aca="false">HYPERLINK("https://www.fabsurplus.com/sdi_catalog/salesItemDetails.do?id=99419")</f>
        <v>https://www.fabsurplus.com/sdi_catalog/salesItemDetails.do?id=99419</v>
      </c>
      <c r="B1769" s="8" t="s">
        <v>4192</v>
      </c>
      <c r="C1769" s="8" t="s">
        <v>4189</v>
      </c>
      <c r="D1769" s="8" t="s">
        <v>4193</v>
      </c>
      <c r="E1769" s="8" t="s">
        <v>4194</v>
      </c>
      <c r="F1769" s="8" t="s">
        <v>16</v>
      </c>
      <c r="G1769" s="8"/>
      <c r="H1769" s="8" t="s">
        <v>33</v>
      </c>
      <c r="I1769" s="8"/>
      <c r="J1769" s="8" t="s">
        <v>19</v>
      </c>
      <c r="K1769" s="8" t="s">
        <v>20</v>
      </c>
    </row>
    <row r="1770" customFormat="false" ht="12.8" hidden="false" customHeight="false" outlineLevel="0" collapsed="false">
      <c r="A1770" s="6" t="str">
        <f aca="false">HYPERLINK("https://www.fabsurplus.com/sdi_catalog/salesItemDetails.do?id=99420")</f>
        <v>https://www.fabsurplus.com/sdi_catalog/salesItemDetails.do?id=99420</v>
      </c>
      <c r="B1770" s="6" t="s">
        <v>4195</v>
      </c>
      <c r="C1770" s="6" t="s">
        <v>4189</v>
      </c>
      <c r="D1770" s="6" t="s">
        <v>4196</v>
      </c>
      <c r="E1770" s="6" t="s">
        <v>4194</v>
      </c>
      <c r="F1770" s="6" t="s">
        <v>16</v>
      </c>
      <c r="G1770" s="6" t="s">
        <v>4197</v>
      </c>
      <c r="H1770" s="6" t="s">
        <v>33</v>
      </c>
      <c r="I1770" s="6"/>
      <c r="J1770" s="6" t="s">
        <v>19</v>
      </c>
      <c r="K1770" s="6" t="s">
        <v>20</v>
      </c>
    </row>
    <row r="1771" customFormat="false" ht="12.8" hidden="false" customHeight="false" outlineLevel="0" collapsed="false">
      <c r="A1771" s="6" t="str">
        <f aca="false">HYPERLINK("https://www.fabsurplus.com/sdi_catalog/salesItemDetails.do?id=98407")</f>
        <v>https://www.fabsurplus.com/sdi_catalog/salesItemDetails.do?id=98407</v>
      </c>
      <c r="B1771" s="6" t="s">
        <v>4198</v>
      </c>
      <c r="C1771" s="6" t="s">
        <v>4199</v>
      </c>
      <c r="D1771" s="6" t="s">
        <v>4200</v>
      </c>
      <c r="E1771" s="6" t="s">
        <v>4201</v>
      </c>
      <c r="F1771" s="6" t="s">
        <v>16</v>
      </c>
      <c r="G1771" s="6" t="s">
        <v>372</v>
      </c>
      <c r="H1771" s="6"/>
      <c r="I1771" s="6"/>
      <c r="J1771" s="6" t="s">
        <v>19</v>
      </c>
      <c r="K1771" s="6"/>
    </row>
    <row r="1772" customFormat="false" ht="12.8" hidden="false" customHeight="false" outlineLevel="0" collapsed="false">
      <c r="A1772" s="6" t="str">
        <f aca="false">HYPERLINK("https://www.fabsurplus.com/sdi_catalog/salesItemDetails.do?id=98474")</f>
        <v>https://www.fabsurplus.com/sdi_catalog/salesItemDetails.do?id=98474</v>
      </c>
      <c r="B1772" s="6" t="s">
        <v>4202</v>
      </c>
      <c r="C1772" s="6" t="s">
        <v>4203</v>
      </c>
      <c r="D1772" s="6" t="s">
        <v>4204</v>
      </c>
      <c r="E1772" s="6" t="s">
        <v>4205</v>
      </c>
      <c r="F1772" s="6" t="s">
        <v>211</v>
      </c>
      <c r="G1772" s="6" t="s">
        <v>697</v>
      </c>
      <c r="H1772" s="6"/>
      <c r="I1772" s="6"/>
      <c r="J1772" s="6" t="s">
        <v>19</v>
      </c>
      <c r="K1772" s="6"/>
    </row>
    <row r="1773" customFormat="false" ht="12.8" hidden="false" customHeight="false" outlineLevel="0" collapsed="false">
      <c r="A1773" s="8" t="str">
        <f aca="false">HYPERLINK("https://www.fabsurplus.com/sdi_catalog/salesItemDetails.do?id=98475")</f>
        <v>https://www.fabsurplus.com/sdi_catalog/salesItemDetails.do?id=98475</v>
      </c>
      <c r="B1773" s="8" t="s">
        <v>4206</v>
      </c>
      <c r="C1773" s="8" t="s">
        <v>4203</v>
      </c>
      <c r="D1773" s="8" t="s">
        <v>4207</v>
      </c>
      <c r="E1773" s="8" t="s">
        <v>4208</v>
      </c>
      <c r="F1773" s="8" t="s">
        <v>211</v>
      </c>
      <c r="G1773" s="8" t="s">
        <v>4209</v>
      </c>
      <c r="H1773" s="8"/>
      <c r="I1773" s="8"/>
      <c r="J1773" s="8" t="s">
        <v>19</v>
      </c>
      <c r="K1773" s="8"/>
    </row>
    <row r="1774" customFormat="false" ht="12.8" hidden="false" customHeight="false" outlineLevel="0" collapsed="false">
      <c r="A1774" s="6" t="str">
        <f aca="false">HYPERLINK("https://www.fabsurplus.com/sdi_catalog/salesItemDetails.do?id=98476")</f>
        <v>https://www.fabsurplus.com/sdi_catalog/salesItemDetails.do?id=98476</v>
      </c>
      <c r="B1774" s="6" t="s">
        <v>4210</v>
      </c>
      <c r="C1774" s="6" t="s">
        <v>4203</v>
      </c>
      <c r="D1774" s="6" t="s">
        <v>4211</v>
      </c>
      <c r="E1774" s="6" t="s">
        <v>4212</v>
      </c>
      <c r="F1774" s="6" t="s">
        <v>611</v>
      </c>
      <c r="G1774" s="6" t="s">
        <v>697</v>
      </c>
      <c r="H1774" s="6"/>
      <c r="I1774" s="6"/>
      <c r="J1774" s="6" t="s">
        <v>19</v>
      </c>
      <c r="K1774" s="6"/>
    </row>
    <row r="1775" customFormat="false" ht="12.8" hidden="false" customHeight="false" outlineLevel="0" collapsed="false">
      <c r="A1775" s="8" t="str">
        <f aca="false">HYPERLINK("https://www.fabsurplus.com/sdi_catalog/salesItemDetails.do?id=98477")</f>
        <v>https://www.fabsurplus.com/sdi_catalog/salesItemDetails.do?id=98477</v>
      </c>
      <c r="B1775" s="8" t="s">
        <v>4213</v>
      </c>
      <c r="C1775" s="8" t="s">
        <v>4203</v>
      </c>
      <c r="D1775" s="8" t="s">
        <v>4214</v>
      </c>
      <c r="E1775" s="8" t="s">
        <v>4215</v>
      </c>
      <c r="F1775" s="8" t="s">
        <v>611</v>
      </c>
      <c r="G1775" s="8" t="s">
        <v>697</v>
      </c>
      <c r="H1775" s="8"/>
      <c r="I1775" s="8"/>
      <c r="J1775" s="8" t="s">
        <v>19</v>
      </c>
      <c r="K1775" s="8"/>
    </row>
    <row r="1776" customFormat="false" ht="12.8" hidden="false" customHeight="false" outlineLevel="0" collapsed="false">
      <c r="A1776" s="6" t="str">
        <f aca="false">HYPERLINK("https://www.fabsurplus.com/sdi_catalog/salesItemDetails.do?id=98478")</f>
        <v>https://www.fabsurplus.com/sdi_catalog/salesItemDetails.do?id=98478</v>
      </c>
      <c r="B1776" s="6" t="s">
        <v>4216</v>
      </c>
      <c r="C1776" s="6" t="s">
        <v>4203</v>
      </c>
      <c r="D1776" s="6" t="s">
        <v>4217</v>
      </c>
      <c r="E1776" s="6" t="s">
        <v>4215</v>
      </c>
      <c r="F1776" s="6" t="s">
        <v>16</v>
      </c>
      <c r="G1776" s="6" t="s">
        <v>697</v>
      </c>
      <c r="H1776" s="6"/>
      <c r="I1776" s="6"/>
      <c r="J1776" s="6" t="s">
        <v>19</v>
      </c>
      <c r="K1776" s="6"/>
    </row>
    <row r="1777" customFormat="false" ht="12.8" hidden="false" customHeight="false" outlineLevel="0" collapsed="false">
      <c r="A1777" s="6" t="str">
        <f aca="false">HYPERLINK("https://www.fabsurplus.com/sdi_catalog/salesItemDetails.do?id=97942")</f>
        <v>https://www.fabsurplus.com/sdi_catalog/salesItemDetails.do?id=97942</v>
      </c>
      <c r="B1777" s="6" t="s">
        <v>4218</v>
      </c>
      <c r="C1777" s="6" t="s">
        <v>4219</v>
      </c>
      <c r="D1777" s="6" t="s">
        <v>4220</v>
      </c>
      <c r="E1777" s="6" t="s">
        <v>3804</v>
      </c>
      <c r="F1777" s="6" t="s">
        <v>16</v>
      </c>
      <c r="G1777" s="6"/>
      <c r="H1777" s="6"/>
      <c r="I1777" s="6"/>
      <c r="J1777" s="6" t="s">
        <v>81</v>
      </c>
      <c r="K1777" s="6"/>
    </row>
    <row r="1778" customFormat="false" ht="12.8" hidden="false" customHeight="false" outlineLevel="0" collapsed="false">
      <c r="A1778" s="6" t="str">
        <f aca="false">HYPERLINK("https://www.fabsurplus.com/sdi_catalog/salesItemDetails.do?id=98005")</f>
        <v>https://www.fabsurplus.com/sdi_catalog/salesItemDetails.do?id=98005</v>
      </c>
      <c r="B1778" s="6" t="s">
        <v>4221</v>
      </c>
      <c r="C1778" s="6" t="s">
        <v>4222</v>
      </c>
      <c r="D1778" s="6" t="s">
        <v>4223</v>
      </c>
      <c r="E1778" s="6" t="s">
        <v>2131</v>
      </c>
      <c r="F1778" s="6" t="s">
        <v>16</v>
      </c>
      <c r="G1778" s="6" t="s">
        <v>32</v>
      </c>
      <c r="H1778" s="6"/>
      <c r="I1778" s="7" t="n">
        <v>40330</v>
      </c>
      <c r="J1778" s="6" t="s">
        <v>19</v>
      </c>
      <c r="K1778" s="6"/>
    </row>
    <row r="1779" customFormat="false" ht="12.8" hidden="false" customHeight="false" outlineLevel="0" collapsed="false">
      <c r="A1779" s="8" t="str">
        <f aca="false">HYPERLINK("https://www.fabsurplus.com/sdi_catalog/salesItemDetails.do?id=99421")</f>
        <v>https://www.fabsurplus.com/sdi_catalog/salesItemDetails.do?id=99421</v>
      </c>
      <c r="B1779" s="8" t="s">
        <v>4224</v>
      </c>
      <c r="C1779" s="8" t="s">
        <v>4225</v>
      </c>
      <c r="D1779" s="8" t="s">
        <v>4226</v>
      </c>
      <c r="E1779" s="8" t="s">
        <v>4227</v>
      </c>
      <c r="F1779" s="8" t="s">
        <v>4228</v>
      </c>
      <c r="G1779" s="8" t="s">
        <v>47</v>
      </c>
      <c r="H1779" s="8"/>
      <c r="I1779" s="8"/>
      <c r="J1779" s="8" t="s">
        <v>19</v>
      </c>
      <c r="K1779" s="8"/>
    </row>
    <row r="1780" customFormat="false" ht="12.8" hidden="false" customHeight="false" outlineLevel="0" collapsed="false">
      <c r="A1780" s="8" t="str">
        <f aca="false">HYPERLINK("https://www.fabsurplus.com/sdi_catalog/salesItemDetails.do?id=100733")</f>
        <v>https://www.fabsurplus.com/sdi_catalog/salesItemDetails.do?id=100733</v>
      </c>
      <c r="B1780" s="8" t="s">
        <v>4229</v>
      </c>
      <c r="C1780" s="8" t="s">
        <v>4230</v>
      </c>
      <c r="D1780" s="8" t="s">
        <v>4231</v>
      </c>
      <c r="E1780" s="8" t="s">
        <v>4232</v>
      </c>
      <c r="F1780" s="8" t="s">
        <v>16</v>
      </c>
      <c r="G1780" s="8"/>
      <c r="H1780" s="8"/>
      <c r="I1780" s="8"/>
      <c r="J1780" s="8" t="s">
        <v>19</v>
      </c>
      <c r="K1780" s="8"/>
    </row>
    <row r="1781" customFormat="false" ht="12.8" hidden="false" customHeight="false" outlineLevel="0" collapsed="false">
      <c r="A1781" s="8" t="str">
        <f aca="false">HYPERLINK("https://www.fabsurplus.com/sdi_catalog/salesItemDetails.do?id=98006")</f>
        <v>https://www.fabsurplus.com/sdi_catalog/salesItemDetails.do?id=98006</v>
      </c>
      <c r="B1781" s="8" t="s">
        <v>4233</v>
      </c>
      <c r="C1781" s="8" t="s">
        <v>4234</v>
      </c>
      <c r="D1781" s="8" t="s">
        <v>4235</v>
      </c>
      <c r="E1781" s="8" t="s">
        <v>4236</v>
      </c>
      <c r="F1781" s="8" t="s">
        <v>16</v>
      </c>
      <c r="G1781" s="8" t="s">
        <v>32</v>
      </c>
      <c r="H1781" s="8"/>
      <c r="I1781" s="8"/>
      <c r="J1781" s="8" t="s">
        <v>19</v>
      </c>
      <c r="K1781" s="8"/>
    </row>
    <row r="1782" customFormat="false" ht="12.8" hidden="false" customHeight="false" outlineLevel="0" collapsed="false">
      <c r="A1782" s="8" t="str">
        <f aca="false">HYPERLINK("https://www.fabsurplus.com/sdi_catalog/salesItemDetails.do?id=99422")</f>
        <v>https://www.fabsurplus.com/sdi_catalog/salesItemDetails.do?id=99422</v>
      </c>
      <c r="B1782" s="8" t="s">
        <v>4237</v>
      </c>
      <c r="C1782" s="8" t="s">
        <v>4238</v>
      </c>
      <c r="D1782" s="8" t="s">
        <v>4239</v>
      </c>
      <c r="E1782" s="8" t="s">
        <v>4240</v>
      </c>
      <c r="F1782" s="8" t="s">
        <v>611</v>
      </c>
      <c r="G1782" s="8"/>
      <c r="H1782" s="8"/>
      <c r="I1782" s="8"/>
      <c r="J1782" s="8" t="s">
        <v>19</v>
      </c>
      <c r="K1782" s="8"/>
    </row>
    <row r="1783" customFormat="false" ht="12.8" hidden="false" customHeight="false" outlineLevel="0" collapsed="false">
      <c r="A1783" s="6" t="str">
        <f aca="false">HYPERLINK("https://www.fabsurplus.com/sdi_catalog/salesItemDetails.do?id=97073")</f>
        <v>https://www.fabsurplus.com/sdi_catalog/salesItemDetails.do?id=97073</v>
      </c>
      <c r="B1783" s="6" t="s">
        <v>4241</v>
      </c>
      <c r="C1783" s="6" t="s">
        <v>4242</v>
      </c>
      <c r="D1783" s="6" t="s">
        <v>4243</v>
      </c>
      <c r="E1783" s="6" t="s">
        <v>4244</v>
      </c>
      <c r="F1783" s="6" t="s">
        <v>16</v>
      </c>
      <c r="G1783" s="6" t="s">
        <v>4245</v>
      </c>
      <c r="H1783" s="6" t="s">
        <v>18</v>
      </c>
      <c r="I1783" s="7" t="n">
        <v>40695</v>
      </c>
      <c r="J1783" s="6" t="s">
        <v>19</v>
      </c>
      <c r="K1783" s="6"/>
    </row>
    <row r="1784" customFormat="false" ht="12.8" hidden="false" customHeight="false" outlineLevel="0" collapsed="false">
      <c r="A1784" s="6" t="str">
        <f aca="false">HYPERLINK("https://www.fabsurplus.com/sdi_catalog/salesItemDetails.do?id=98614")</f>
        <v>https://www.fabsurplus.com/sdi_catalog/salesItemDetails.do?id=98614</v>
      </c>
      <c r="B1784" s="6" t="s">
        <v>4246</v>
      </c>
      <c r="C1784" s="6" t="s">
        <v>4247</v>
      </c>
      <c r="D1784" s="6" t="s">
        <v>4248</v>
      </c>
      <c r="E1784" s="6" t="s">
        <v>719</v>
      </c>
      <c r="F1784" s="6" t="s">
        <v>16</v>
      </c>
      <c r="G1784" s="6" t="s">
        <v>38</v>
      </c>
      <c r="H1784" s="6"/>
      <c r="I1784" s="6"/>
      <c r="J1784" s="6" t="s">
        <v>19</v>
      </c>
      <c r="K1784" s="6"/>
    </row>
    <row r="1785" customFormat="false" ht="12.8" hidden="false" customHeight="false" outlineLevel="0" collapsed="false">
      <c r="A1785" s="8" t="str">
        <f aca="false">HYPERLINK("https://www.fabsurplus.com/sdi_catalog/salesItemDetails.do?id=98613")</f>
        <v>https://www.fabsurplus.com/sdi_catalog/salesItemDetails.do?id=98613</v>
      </c>
      <c r="B1785" s="8" t="s">
        <v>4249</v>
      </c>
      <c r="C1785" s="8" t="s">
        <v>4247</v>
      </c>
      <c r="D1785" s="8" t="s">
        <v>4248</v>
      </c>
      <c r="E1785" s="8" t="s">
        <v>719</v>
      </c>
      <c r="F1785" s="8" t="s">
        <v>16</v>
      </c>
      <c r="G1785" s="8" t="s">
        <v>38</v>
      </c>
      <c r="H1785" s="8"/>
      <c r="I1785" s="8"/>
      <c r="J1785" s="8" t="s">
        <v>19</v>
      </c>
      <c r="K1785" s="8"/>
    </row>
    <row r="1786" customFormat="false" ht="12.8" hidden="false" customHeight="false" outlineLevel="0" collapsed="false">
      <c r="A1786" s="8" t="str">
        <f aca="false">HYPERLINK("https://www.fabsurplus.com/sdi_catalog/salesItemDetails.do?id=97943")</f>
        <v>https://www.fabsurplus.com/sdi_catalog/salesItemDetails.do?id=97943</v>
      </c>
      <c r="B1786" s="8" t="s">
        <v>4250</v>
      </c>
      <c r="C1786" s="8" t="s">
        <v>4251</v>
      </c>
      <c r="D1786" s="8" t="s">
        <v>4252</v>
      </c>
      <c r="E1786" s="8" t="s">
        <v>4253</v>
      </c>
      <c r="F1786" s="8" t="s">
        <v>16</v>
      </c>
      <c r="G1786" s="8" t="s">
        <v>1851</v>
      </c>
      <c r="H1786" s="8"/>
      <c r="I1786" s="8"/>
      <c r="J1786" s="8" t="s">
        <v>81</v>
      </c>
      <c r="K1786" s="8"/>
    </row>
    <row r="1787" customFormat="false" ht="12.8" hidden="false" customHeight="false" outlineLevel="0" collapsed="false">
      <c r="A1787" s="6" t="str">
        <f aca="false">HYPERLINK("https://www.fabsurplus.com/sdi_catalog/salesItemDetails.do?id=97205")</f>
        <v>https://www.fabsurplus.com/sdi_catalog/salesItemDetails.do?id=97205</v>
      </c>
      <c r="B1787" s="6" t="s">
        <v>4254</v>
      </c>
      <c r="C1787" s="6" t="s">
        <v>4255</v>
      </c>
      <c r="D1787" s="6" t="s">
        <v>4256</v>
      </c>
      <c r="E1787" s="6" t="s">
        <v>3698</v>
      </c>
      <c r="F1787" s="6" t="s">
        <v>16</v>
      </c>
      <c r="G1787" s="6" t="s">
        <v>434</v>
      </c>
      <c r="H1787" s="6"/>
      <c r="I1787" s="7" t="n">
        <v>41791</v>
      </c>
      <c r="J1787" s="6" t="s">
        <v>19</v>
      </c>
      <c r="K1787" s="6"/>
    </row>
    <row r="1788" customFormat="false" ht="12.8" hidden="false" customHeight="false" outlineLevel="0" collapsed="false">
      <c r="A1788" s="8" t="str">
        <f aca="false">HYPERLINK("https://www.fabsurplus.com/sdi_catalog/salesItemDetails.do?id=97703")</f>
        <v>https://www.fabsurplus.com/sdi_catalog/salesItemDetails.do?id=97703</v>
      </c>
      <c r="B1788" s="8" t="s">
        <v>4257</v>
      </c>
      <c r="C1788" s="8" t="s">
        <v>4258</v>
      </c>
      <c r="D1788" s="8" t="s">
        <v>4259</v>
      </c>
      <c r="E1788" s="8" t="s">
        <v>4260</v>
      </c>
      <c r="F1788" s="8" t="s">
        <v>16</v>
      </c>
      <c r="G1788" s="8"/>
      <c r="H1788" s="8"/>
      <c r="I1788" s="8"/>
      <c r="J1788" s="8" t="s">
        <v>19</v>
      </c>
      <c r="K1788" s="8"/>
    </row>
    <row r="1789" customFormat="false" ht="12.8" hidden="false" customHeight="false" outlineLevel="0" collapsed="false">
      <c r="A1789" s="6" t="str">
        <f aca="false">HYPERLINK("https://www.fabsurplus.com/sdi_catalog/salesItemDetails.do?id=97944")</f>
        <v>https://www.fabsurplus.com/sdi_catalog/salesItemDetails.do?id=97944</v>
      </c>
      <c r="B1789" s="6" t="s">
        <v>4261</v>
      </c>
      <c r="C1789" s="6" t="s">
        <v>4262</v>
      </c>
      <c r="D1789" s="6" t="s">
        <v>4263</v>
      </c>
      <c r="E1789" s="6" t="s">
        <v>4264</v>
      </c>
      <c r="F1789" s="6" t="s">
        <v>16</v>
      </c>
      <c r="G1789" s="6" t="s">
        <v>1851</v>
      </c>
      <c r="H1789" s="6"/>
      <c r="I1789" s="6"/>
      <c r="J1789" s="6" t="s">
        <v>81</v>
      </c>
      <c r="K1789" s="6"/>
    </row>
    <row r="1790" customFormat="false" ht="12.8" hidden="false" customHeight="false" outlineLevel="0" collapsed="false">
      <c r="A1790" s="8" t="str">
        <f aca="false">HYPERLINK("https://www.fabsurplus.com/sdi_catalog/salesItemDetails.do?id=97945")</f>
        <v>https://www.fabsurplus.com/sdi_catalog/salesItemDetails.do?id=97945</v>
      </c>
      <c r="B1790" s="8" t="s">
        <v>4265</v>
      </c>
      <c r="C1790" s="8" t="s">
        <v>4266</v>
      </c>
      <c r="D1790" s="8" t="s">
        <v>4267</v>
      </c>
      <c r="E1790" s="8" t="s">
        <v>4268</v>
      </c>
      <c r="F1790" s="8" t="s">
        <v>16</v>
      </c>
      <c r="G1790" s="8" t="s">
        <v>1851</v>
      </c>
      <c r="H1790" s="8"/>
      <c r="I1790" s="8"/>
      <c r="J1790" s="8" t="s">
        <v>81</v>
      </c>
      <c r="K1790" s="8"/>
    </row>
    <row r="1791" customFormat="false" ht="12.8" hidden="false" customHeight="false" outlineLevel="0" collapsed="false">
      <c r="A1791" s="6" t="str">
        <f aca="false">HYPERLINK("https://www.fabsurplus.com/sdi_catalog/salesItemDetails.do?id=100734")</f>
        <v>https://www.fabsurplus.com/sdi_catalog/salesItemDetails.do?id=100734</v>
      </c>
      <c r="B1791" s="6" t="s">
        <v>4269</v>
      </c>
      <c r="C1791" s="6" t="s">
        <v>4262</v>
      </c>
      <c r="D1791" s="6" t="s">
        <v>4270</v>
      </c>
      <c r="E1791" s="6" t="s">
        <v>4271</v>
      </c>
      <c r="F1791" s="6" t="s">
        <v>16</v>
      </c>
      <c r="G1791" s="6"/>
      <c r="H1791" s="6"/>
      <c r="I1791" s="6"/>
      <c r="J1791" s="6" t="s">
        <v>19</v>
      </c>
      <c r="K1791" s="6"/>
    </row>
    <row r="1792" customFormat="false" ht="12.8" hidden="false" customHeight="false" outlineLevel="0" collapsed="false">
      <c r="A1792" s="8" t="str">
        <f aca="false">HYPERLINK("https://www.fabsurplus.com/sdi_catalog/salesItemDetails.do?id=100735")</f>
        <v>https://www.fabsurplus.com/sdi_catalog/salesItemDetails.do?id=100735</v>
      </c>
      <c r="B1792" s="8" t="s">
        <v>4272</v>
      </c>
      <c r="C1792" s="8" t="s">
        <v>4262</v>
      </c>
      <c r="D1792" s="8" t="s">
        <v>4273</v>
      </c>
      <c r="E1792" s="8" t="s">
        <v>4271</v>
      </c>
      <c r="F1792" s="8" t="s">
        <v>16</v>
      </c>
      <c r="G1792" s="8"/>
      <c r="H1792" s="8"/>
      <c r="I1792" s="8"/>
      <c r="J1792" s="8" t="s">
        <v>19</v>
      </c>
      <c r="K1792" s="8"/>
    </row>
    <row r="1793" customFormat="false" ht="12.8" hidden="false" customHeight="false" outlineLevel="0" collapsed="false">
      <c r="A1793" s="6" t="str">
        <f aca="false">HYPERLINK("https://www.fabsurplus.com/sdi_catalog/salesItemDetails.do?id=100736")</f>
        <v>https://www.fabsurplus.com/sdi_catalog/salesItemDetails.do?id=100736</v>
      </c>
      <c r="B1793" s="6" t="s">
        <v>4274</v>
      </c>
      <c r="C1793" s="6" t="s">
        <v>4262</v>
      </c>
      <c r="D1793" s="6" t="s">
        <v>4275</v>
      </c>
      <c r="E1793" s="6" t="s">
        <v>4232</v>
      </c>
      <c r="F1793" s="6" t="s">
        <v>16</v>
      </c>
      <c r="G1793" s="6"/>
      <c r="H1793" s="6"/>
      <c r="I1793" s="7" t="n">
        <v>40695</v>
      </c>
      <c r="J1793" s="6" t="s">
        <v>19</v>
      </c>
      <c r="K1793" s="6"/>
    </row>
    <row r="1794" customFormat="false" ht="12.8" hidden="false" customHeight="false" outlineLevel="0" collapsed="false">
      <c r="A1794" s="8" t="str">
        <f aca="false">HYPERLINK("https://www.fabsurplus.com/sdi_catalog/salesItemDetails.do?id=100737")</f>
        <v>https://www.fabsurplus.com/sdi_catalog/salesItemDetails.do?id=100737</v>
      </c>
      <c r="B1794" s="8" t="s">
        <v>4276</v>
      </c>
      <c r="C1794" s="8" t="s">
        <v>4262</v>
      </c>
      <c r="D1794" s="8" t="s">
        <v>4277</v>
      </c>
      <c r="E1794" s="8" t="s">
        <v>4232</v>
      </c>
      <c r="F1794" s="8" t="s">
        <v>16</v>
      </c>
      <c r="G1794" s="8"/>
      <c r="H1794" s="8"/>
      <c r="I1794" s="8"/>
      <c r="J1794" s="8" t="s">
        <v>19</v>
      </c>
      <c r="K1794" s="8"/>
    </row>
    <row r="1795" customFormat="false" ht="12.8" hidden="false" customHeight="false" outlineLevel="0" collapsed="false">
      <c r="A1795" s="6" t="str">
        <f aca="false">HYPERLINK("https://www.fabsurplus.com/sdi_catalog/salesItemDetails.do?id=99062")</f>
        <v>https://www.fabsurplus.com/sdi_catalog/salesItemDetails.do?id=99062</v>
      </c>
      <c r="B1795" s="6" t="s">
        <v>4278</v>
      </c>
      <c r="C1795" s="6" t="s">
        <v>4279</v>
      </c>
      <c r="D1795" s="6" t="s">
        <v>4280</v>
      </c>
      <c r="E1795" s="6" t="s">
        <v>4281</v>
      </c>
      <c r="F1795" s="6" t="s">
        <v>16</v>
      </c>
      <c r="G1795" s="6" t="s">
        <v>712</v>
      </c>
      <c r="H1795" s="6" t="s">
        <v>115</v>
      </c>
      <c r="I1795" s="6"/>
      <c r="J1795" s="6" t="s">
        <v>19</v>
      </c>
      <c r="K1795" s="6" t="s">
        <v>20</v>
      </c>
    </row>
    <row r="1796" customFormat="false" ht="12.8" hidden="false" customHeight="false" outlineLevel="0" collapsed="false">
      <c r="A1796" s="8" t="str">
        <f aca="false">HYPERLINK("https://www.fabsurplus.com/sdi_catalog/salesItemDetails.do?id=97867")</f>
        <v>https://www.fabsurplus.com/sdi_catalog/salesItemDetails.do?id=97867</v>
      </c>
      <c r="B1796" s="8" t="s">
        <v>4282</v>
      </c>
      <c r="C1796" s="8" t="s">
        <v>4283</v>
      </c>
      <c r="D1796" s="8" t="s">
        <v>4284</v>
      </c>
      <c r="E1796" s="8" t="s">
        <v>2139</v>
      </c>
      <c r="F1796" s="8" t="s">
        <v>16</v>
      </c>
      <c r="G1796" s="8"/>
      <c r="H1796" s="8"/>
      <c r="I1796" s="9" t="n">
        <v>37773</v>
      </c>
      <c r="J1796" s="8" t="s">
        <v>19</v>
      </c>
      <c r="K1796" s="8"/>
    </row>
    <row r="1797" customFormat="false" ht="12.8" hidden="false" customHeight="false" outlineLevel="0" collapsed="false">
      <c r="A1797" s="8" t="str">
        <f aca="false">HYPERLINK("https://www.fabsurplus.com/sdi_catalog/salesItemDetails.do?id=100039")</f>
        <v>https://www.fabsurplus.com/sdi_catalog/salesItemDetails.do?id=100039</v>
      </c>
      <c r="B1797" s="8" t="s">
        <v>4285</v>
      </c>
      <c r="C1797" s="8" t="s">
        <v>4286</v>
      </c>
      <c r="D1797" s="8" t="s">
        <v>4287</v>
      </c>
      <c r="E1797" s="8" t="s">
        <v>4288</v>
      </c>
      <c r="F1797" s="8" t="s">
        <v>16</v>
      </c>
      <c r="G1797" s="8"/>
      <c r="H1797" s="8"/>
      <c r="I1797" s="8"/>
      <c r="J1797" s="8" t="s">
        <v>19</v>
      </c>
      <c r="K1797" s="8"/>
    </row>
    <row r="1798" customFormat="false" ht="12.8" hidden="false" customHeight="false" outlineLevel="0" collapsed="false">
      <c r="A1798" s="8" t="str">
        <f aca="false">HYPERLINK("https://www.fabsurplus.com/sdi_catalog/salesItemDetails.do?id=100219")</f>
        <v>https://www.fabsurplus.com/sdi_catalog/salesItemDetails.do?id=100219</v>
      </c>
      <c r="B1798" s="8" t="s">
        <v>4289</v>
      </c>
      <c r="C1798" s="8" t="s">
        <v>4290</v>
      </c>
      <c r="D1798" s="8" t="s">
        <v>4291</v>
      </c>
      <c r="E1798" s="8" t="s">
        <v>4292</v>
      </c>
      <c r="F1798" s="8" t="s">
        <v>16</v>
      </c>
      <c r="G1798" s="8" t="s">
        <v>697</v>
      </c>
      <c r="H1798" s="8"/>
      <c r="I1798" s="9" t="n">
        <v>40330</v>
      </c>
      <c r="J1798" s="8" t="s">
        <v>19</v>
      </c>
      <c r="K1798" s="8"/>
    </row>
    <row r="1799" customFormat="false" ht="12.8" hidden="false" customHeight="false" outlineLevel="0" collapsed="false">
      <c r="A1799" s="6" t="str">
        <f aca="false">HYPERLINK("https://www.fabsurplus.com/sdi_catalog/salesItemDetails.do?id=98408")</f>
        <v>https://www.fabsurplus.com/sdi_catalog/salesItemDetails.do?id=98408</v>
      </c>
      <c r="B1799" s="6" t="s">
        <v>4293</v>
      </c>
      <c r="C1799" s="6" t="s">
        <v>4294</v>
      </c>
      <c r="D1799" s="6" t="s">
        <v>4295</v>
      </c>
      <c r="E1799" s="6" t="s">
        <v>4296</v>
      </c>
      <c r="F1799" s="6" t="s">
        <v>16</v>
      </c>
      <c r="G1799" s="6" t="s">
        <v>32</v>
      </c>
      <c r="H1799" s="6"/>
      <c r="I1799" s="6"/>
      <c r="J1799" s="6" t="s">
        <v>19</v>
      </c>
      <c r="K1799" s="6"/>
    </row>
    <row r="1800" customFormat="false" ht="12.8" hidden="false" customHeight="false" outlineLevel="0" collapsed="false">
      <c r="A1800" s="6" t="str">
        <f aca="false">HYPERLINK("https://www.fabsurplus.com/sdi_catalog/salesItemDetails.do?id=98409")</f>
        <v>https://www.fabsurplus.com/sdi_catalog/salesItemDetails.do?id=98409</v>
      </c>
      <c r="B1800" s="6" t="s">
        <v>4297</v>
      </c>
      <c r="C1800" s="6" t="s">
        <v>386</v>
      </c>
      <c r="D1800" s="6" t="s">
        <v>4298</v>
      </c>
      <c r="E1800" s="6" t="s">
        <v>4299</v>
      </c>
      <c r="F1800" s="6" t="s">
        <v>16</v>
      </c>
      <c r="G1800" s="6" t="s">
        <v>372</v>
      </c>
      <c r="H1800" s="6"/>
      <c r="I1800" s="6"/>
      <c r="J1800" s="6" t="s">
        <v>19</v>
      </c>
      <c r="K1800" s="6"/>
    </row>
    <row r="1801" customFormat="false" ht="12.8" hidden="false" customHeight="false" outlineLevel="0" collapsed="false">
      <c r="A1801" s="6" t="str">
        <f aca="false">HYPERLINK("https://www.fabsurplus.com/sdi_catalog/salesItemDetails.do?id=99327")</f>
        <v>https://www.fabsurplus.com/sdi_catalog/salesItemDetails.do?id=99327</v>
      </c>
      <c r="B1801" s="6" t="s">
        <v>4300</v>
      </c>
      <c r="C1801" s="6" t="s">
        <v>4301</v>
      </c>
      <c r="D1801" s="6" t="s">
        <v>4302</v>
      </c>
      <c r="E1801" s="6" t="s">
        <v>4303</v>
      </c>
      <c r="F1801" s="6" t="s">
        <v>16</v>
      </c>
      <c r="G1801" s="6" t="s">
        <v>75</v>
      </c>
      <c r="H1801" s="6" t="s">
        <v>438</v>
      </c>
      <c r="I1801" s="7" t="n">
        <v>41061</v>
      </c>
      <c r="J1801" s="6" t="s">
        <v>19</v>
      </c>
      <c r="K1801" s="6" t="s">
        <v>20</v>
      </c>
    </row>
    <row r="1802" customFormat="false" ht="12.8" hidden="false" customHeight="false" outlineLevel="0" collapsed="false">
      <c r="A1802" s="6" t="str">
        <f aca="false">HYPERLINK("https://www.fabsurplus.com/sdi_catalog/salesItemDetails.do?id=99329")</f>
        <v>https://www.fabsurplus.com/sdi_catalog/salesItemDetails.do?id=99329</v>
      </c>
      <c r="B1802" s="6" t="s">
        <v>4304</v>
      </c>
      <c r="C1802" s="6" t="s">
        <v>4301</v>
      </c>
      <c r="D1802" s="6" t="s">
        <v>4305</v>
      </c>
      <c r="E1802" s="6" t="s">
        <v>4303</v>
      </c>
      <c r="F1802" s="6" t="s">
        <v>16</v>
      </c>
      <c r="G1802" s="6"/>
      <c r="H1802" s="6"/>
      <c r="I1802" s="7" t="n">
        <v>38139</v>
      </c>
      <c r="J1802" s="6" t="s">
        <v>19</v>
      </c>
      <c r="K1802" s="6"/>
    </row>
    <row r="1803" customFormat="false" ht="12.8" hidden="false" customHeight="false" outlineLevel="0" collapsed="false">
      <c r="A1803" s="8" t="str">
        <f aca="false">HYPERLINK("https://www.fabsurplus.com/sdi_catalog/salesItemDetails.do?id=99328")</f>
        <v>https://www.fabsurplus.com/sdi_catalog/salesItemDetails.do?id=99328</v>
      </c>
      <c r="B1803" s="8" t="s">
        <v>4306</v>
      </c>
      <c r="C1803" s="8" t="s">
        <v>4301</v>
      </c>
      <c r="D1803" s="8" t="s">
        <v>4305</v>
      </c>
      <c r="E1803" s="8" t="s">
        <v>4303</v>
      </c>
      <c r="F1803" s="8" t="s">
        <v>16</v>
      </c>
      <c r="G1803" s="8"/>
      <c r="H1803" s="8"/>
      <c r="I1803" s="9" t="n">
        <v>36678</v>
      </c>
      <c r="J1803" s="8" t="s">
        <v>19</v>
      </c>
      <c r="K1803" s="8"/>
    </row>
    <row r="1804" customFormat="false" ht="12.8" hidden="false" customHeight="false" outlineLevel="0" collapsed="false">
      <c r="A1804" s="6" t="str">
        <f aca="false">HYPERLINK("https://www.fabsurplus.com/sdi_catalog/salesItemDetails.do?id=97946")</f>
        <v>https://www.fabsurplus.com/sdi_catalog/salesItemDetails.do?id=97946</v>
      </c>
      <c r="B1804" s="6" t="s">
        <v>4307</v>
      </c>
      <c r="C1804" s="6" t="s">
        <v>4308</v>
      </c>
      <c r="D1804" s="6" t="s">
        <v>4309</v>
      </c>
      <c r="E1804" s="6" t="s">
        <v>4310</v>
      </c>
      <c r="F1804" s="6" t="s">
        <v>16</v>
      </c>
      <c r="G1804" s="6" t="s">
        <v>434</v>
      </c>
      <c r="H1804" s="6"/>
      <c r="I1804" s="6"/>
      <c r="J1804" s="6" t="s">
        <v>81</v>
      </c>
      <c r="K1804" s="6"/>
    </row>
    <row r="1805" customFormat="false" ht="12.8" hidden="false" customHeight="false" outlineLevel="0" collapsed="false">
      <c r="A1805" s="8" t="str">
        <f aca="false">HYPERLINK("https://www.fabsurplus.com/sdi_catalog/salesItemDetails.do?id=97947")</f>
        <v>https://www.fabsurplus.com/sdi_catalog/salesItemDetails.do?id=97947</v>
      </c>
      <c r="B1805" s="8" t="s">
        <v>4311</v>
      </c>
      <c r="C1805" s="8" t="s">
        <v>4308</v>
      </c>
      <c r="D1805" s="8" t="s">
        <v>4312</v>
      </c>
      <c r="E1805" s="8" t="s">
        <v>4310</v>
      </c>
      <c r="F1805" s="8" t="s">
        <v>16</v>
      </c>
      <c r="G1805" s="8" t="s">
        <v>434</v>
      </c>
      <c r="H1805" s="8"/>
      <c r="I1805" s="8"/>
      <c r="J1805" s="8" t="s">
        <v>81</v>
      </c>
      <c r="K1805" s="8"/>
    </row>
    <row r="1806" customFormat="false" ht="12.8" hidden="false" customHeight="false" outlineLevel="0" collapsed="false">
      <c r="A1806" s="6" t="str">
        <f aca="false">HYPERLINK("https://www.fabsurplus.com/sdi_catalog/salesItemDetails.do?id=97948")</f>
        <v>https://www.fabsurplus.com/sdi_catalog/salesItemDetails.do?id=97948</v>
      </c>
      <c r="B1806" s="6" t="s">
        <v>4313</v>
      </c>
      <c r="C1806" s="6" t="s">
        <v>4308</v>
      </c>
      <c r="D1806" s="6" t="s">
        <v>4314</v>
      </c>
      <c r="E1806" s="6" t="s">
        <v>4310</v>
      </c>
      <c r="F1806" s="6" t="s">
        <v>16</v>
      </c>
      <c r="G1806" s="6" t="s">
        <v>434</v>
      </c>
      <c r="H1806" s="6"/>
      <c r="I1806" s="6"/>
      <c r="J1806" s="6" t="s">
        <v>81</v>
      </c>
      <c r="K1806" s="6"/>
    </row>
    <row r="1807" customFormat="false" ht="12.8" hidden="false" customHeight="false" outlineLevel="0" collapsed="false">
      <c r="A1807" s="8" t="str">
        <f aca="false">HYPERLINK("https://www.fabsurplus.com/sdi_catalog/salesItemDetails.do?id=98791")</f>
        <v>https://www.fabsurplus.com/sdi_catalog/salesItemDetails.do?id=98791</v>
      </c>
      <c r="B1807" s="8" t="s">
        <v>4315</v>
      </c>
      <c r="C1807" s="8" t="s">
        <v>4316</v>
      </c>
      <c r="D1807" s="8" t="s">
        <v>4317</v>
      </c>
      <c r="E1807" s="8" t="s">
        <v>4318</v>
      </c>
      <c r="F1807" s="8" t="s">
        <v>16</v>
      </c>
      <c r="G1807" s="8" t="s">
        <v>434</v>
      </c>
      <c r="H1807" s="8"/>
      <c r="I1807" s="9" t="n">
        <v>40422</v>
      </c>
      <c r="J1807" s="8" t="s">
        <v>19</v>
      </c>
      <c r="K1807" s="8"/>
    </row>
    <row r="1808" customFormat="false" ht="12.8" hidden="false" customHeight="false" outlineLevel="0" collapsed="false">
      <c r="A1808" s="6" t="str">
        <f aca="false">HYPERLINK("https://www.fabsurplus.com/sdi_catalog/salesItemDetails.do?id=97844")</f>
        <v>https://www.fabsurplus.com/sdi_catalog/salesItemDetails.do?id=97844</v>
      </c>
      <c r="B1808" s="6" t="s">
        <v>4319</v>
      </c>
      <c r="C1808" s="6" t="s">
        <v>4320</v>
      </c>
      <c r="D1808" s="6" t="s">
        <v>4321</v>
      </c>
      <c r="E1808" s="6" t="s">
        <v>4322</v>
      </c>
      <c r="F1808" s="6" t="s">
        <v>16</v>
      </c>
      <c r="G1808" s="6"/>
      <c r="H1808" s="6" t="s">
        <v>18</v>
      </c>
      <c r="I1808" s="7" t="n">
        <v>42644</v>
      </c>
      <c r="J1808" s="6" t="s">
        <v>19</v>
      </c>
      <c r="K1808" s="6" t="s">
        <v>20</v>
      </c>
    </row>
    <row r="1809" customFormat="false" ht="12.8" hidden="false" customHeight="false" outlineLevel="0" collapsed="false">
      <c r="A1809" s="6" t="str">
        <f aca="false">HYPERLINK("https://www.fabsurplus.com/sdi_catalog/salesItemDetails.do?id=100794")</f>
        <v>https://www.fabsurplus.com/sdi_catalog/salesItemDetails.do?id=100794</v>
      </c>
      <c r="B1809" s="6" t="s">
        <v>4323</v>
      </c>
      <c r="C1809" s="6" t="s">
        <v>4324</v>
      </c>
      <c r="D1809" s="6" t="s">
        <v>4325</v>
      </c>
      <c r="E1809" s="6" t="s">
        <v>4326</v>
      </c>
      <c r="F1809" s="6" t="s">
        <v>16</v>
      </c>
      <c r="G1809" s="6" t="s">
        <v>310</v>
      </c>
      <c r="H1809" s="6"/>
      <c r="I1809" s="7" t="n">
        <v>41426</v>
      </c>
      <c r="J1809" s="6" t="s">
        <v>81</v>
      </c>
      <c r="K1809" s="6"/>
    </row>
    <row r="1810" customFormat="false" ht="12.8" hidden="false" customHeight="false" outlineLevel="0" collapsed="false">
      <c r="A1810" s="8" t="str">
        <f aca="false">HYPERLINK("https://www.fabsurplus.com/sdi_catalog/salesItemDetails.do?id=100793")</f>
        <v>https://www.fabsurplus.com/sdi_catalog/salesItemDetails.do?id=100793</v>
      </c>
      <c r="B1810" s="8" t="s">
        <v>4327</v>
      </c>
      <c r="C1810" s="8" t="s">
        <v>4324</v>
      </c>
      <c r="D1810" s="8" t="s">
        <v>4325</v>
      </c>
      <c r="E1810" s="8" t="s">
        <v>4326</v>
      </c>
      <c r="F1810" s="8" t="s">
        <v>16</v>
      </c>
      <c r="G1810" s="8" t="s">
        <v>310</v>
      </c>
      <c r="H1810" s="8"/>
      <c r="I1810" s="9" t="n">
        <v>41426</v>
      </c>
      <c r="J1810" s="8" t="s">
        <v>81</v>
      </c>
      <c r="K1810" s="8"/>
    </row>
    <row r="1811" customFormat="false" ht="12.8" hidden="false" customHeight="false" outlineLevel="0" collapsed="false">
      <c r="A1811" s="6" t="str">
        <f aca="false">HYPERLINK("https://www.fabsurplus.com/sdi_catalog/salesItemDetails.do?id=99330")</f>
        <v>https://www.fabsurplus.com/sdi_catalog/salesItemDetails.do?id=99330</v>
      </c>
      <c r="B1811" s="6" t="s">
        <v>4328</v>
      </c>
      <c r="C1811" s="6" t="s">
        <v>4329</v>
      </c>
      <c r="D1811" s="6" t="s">
        <v>4330</v>
      </c>
      <c r="E1811" s="6" t="s">
        <v>4331</v>
      </c>
      <c r="F1811" s="6" t="s">
        <v>16</v>
      </c>
      <c r="G1811" s="6" t="s">
        <v>328</v>
      </c>
      <c r="H1811" s="6" t="s">
        <v>33</v>
      </c>
      <c r="I1811" s="7" t="n">
        <v>41791</v>
      </c>
      <c r="J1811" s="6" t="s">
        <v>19</v>
      </c>
      <c r="K1811" s="6" t="s">
        <v>20</v>
      </c>
    </row>
    <row r="1812" customFormat="false" ht="12.8" hidden="false" customHeight="false" outlineLevel="0" collapsed="false">
      <c r="A1812" s="6" t="str">
        <f aca="false">HYPERLINK("https://www.fabsurplus.com/sdi_catalog/salesItemDetails.do?id=98480")</f>
        <v>https://www.fabsurplus.com/sdi_catalog/salesItemDetails.do?id=98480</v>
      </c>
      <c r="B1812" s="6" t="s">
        <v>4332</v>
      </c>
      <c r="C1812" s="6" t="s">
        <v>4333</v>
      </c>
      <c r="D1812" s="6" t="s">
        <v>4334</v>
      </c>
      <c r="E1812" s="6" t="s">
        <v>4335</v>
      </c>
      <c r="F1812" s="6" t="s">
        <v>16</v>
      </c>
      <c r="G1812" s="6" t="s">
        <v>2132</v>
      </c>
      <c r="H1812" s="6"/>
      <c r="I1812" s="6"/>
      <c r="J1812" s="6" t="s">
        <v>19</v>
      </c>
      <c r="K1812" s="6"/>
    </row>
    <row r="1813" customFormat="false" ht="12.8" hidden="false" customHeight="false" outlineLevel="0" collapsed="false">
      <c r="A1813" s="8" t="str">
        <f aca="false">HYPERLINK("https://www.fabsurplus.com/sdi_catalog/salesItemDetails.do?id=98481")</f>
        <v>https://www.fabsurplus.com/sdi_catalog/salesItemDetails.do?id=98481</v>
      </c>
      <c r="B1813" s="8" t="s">
        <v>4336</v>
      </c>
      <c r="C1813" s="8" t="s">
        <v>4333</v>
      </c>
      <c r="D1813" s="8" t="s">
        <v>4337</v>
      </c>
      <c r="E1813" s="8" t="s">
        <v>4335</v>
      </c>
      <c r="F1813" s="8" t="s">
        <v>611</v>
      </c>
      <c r="G1813" s="8" t="s">
        <v>697</v>
      </c>
      <c r="H1813" s="8"/>
      <c r="I1813" s="8"/>
      <c r="J1813" s="8" t="s">
        <v>19</v>
      </c>
      <c r="K1813" s="8"/>
    </row>
    <row r="1814" customFormat="false" ht="12.8" hidden="false" customHeight="false" outlineLevel="0" collapsed="false">
      <c r="A1814" s="8" t="str">
        <f aca="false">HYPERLINK("https://www.fabsurplus.com/sdi_catalog/salesItemDetails.do?id=98479")</f>
        <v>https://www.fabsurplus.com/sdi_catalog/salesItemDetails.do?id=98479</v>
      </c>
      <c r="B1814" s="8" t="s">
        <v>4338</v>
      </c>
      <c r="C1814" s="8" t="s">
        <v>4333</v>
      </c>
      <c r="D1814" s="8" t="s">
        <v>4339</v>
      </c>
      <c r="E1814" s="8" t="s">
        <v>4335</v>
      </c>
      <c r="F1814" s="8" t="s">
        <v>16</v>
      </c>
      <c r="G1814" s="8" t="s">
        <v>697</v>
      </c>
      <c r="H1814" s="8"/>
      <c r="I1814" s="8"/>
      <c r="J1814" s="8" t="s">
        <v>19</v>
      </c>
      <c r="K1814" s="8"/>
    </row>
    <row r="1815" customFormat="false" ht="12.8" hidden="false" customHeight="false" outlineLevel="0" collapsed="false">
      <c r="A1815" s="6" t="str">
        <f aca="false">HYPERLINK("https://www.fabsurplus.com/sdi_catalog/salesItemDetails.do?id=99030")</f>
        <v>https://www.fabsurplus.com/sdi_catalog/salesItemDetails.do?id=99030</v>
      </c>
      <c r="B1815" s="6" t="s">
        <v>4340</v>
      </c>
      <c r="C1815" s="6" t="s">
        <v>4341</v>
      </c>
      <c r="D1815" s="6" t="s">
        <v>4342</v>
      </c>
      <c r="E1815" s="6" t="s">
        <v>4343</v>
      </c>
      <c r="F1815" s="6" t="s">
        <v>16</v>
      </c>
      <c r="G1815" s="6" t="s">
        <v>310</v>
      </c>
      <c r="H1815" s="6"/>
      <c r="I1815" s="7" t="n">
        <v>39479</v>
      </c>
      <c r="J1815" s="6" t="s">
        <v>19</v>
      </c>
      <c r="K1815" s="6"/>
    </row>
    <row r="1816" customFormat="false" ht="12.8" hidden="false" customHeight="false" outlineLevel="0" collapsed="false">
      <c r="A1816" s="8" t="str">
        <f aca="false">HYPERLINK("https://www.fabsurplus.com/sdi_catalog/salesItemDetails.do?id=99029")</f>
        <v>https://www.fabsurplus.com/sdi_catalog/salesItemDetails.do?id=99029</v>
      </c>
      <c r="B1816" s="8" t="s">
        <v>4344</v>
      </c>
      <c r="C1816" s="8" t="s">
        <v>4341</v>
      </c>
      <c r="D1816" s="8" t="s">
        <v>4342</v>
      </c>
      <c r="E1816" s="8" t="s">
        <v>4343</v>
      </c>
      <c r="F1816" s="8" t="s">
        <v>16</v>
      </c>
      <c r="G1816" s="8"/>
      <c r="H1816" s="8"/>
      <c r="I1816" s="9" t="n">
        <v>38991</v>
      </c>
      <c r="J1816" s="8" t="s">
        <v>19</v>
      </c>
      <c r="K1816" s="8"/>
    </row>
    <row r="1817" customFormat="false" ht="12.8" hidden="false" customHeight="false" outlineLevel="0" collapsed="false">
      <c r="A1817" s="6" t="str">
        <f aca="false">HYPERLINK("https://www.fabsurplus.com/sdi_catalog/salesItemDetails.do?id=99028")</f>
        <v>https://www.fabsurplus.com/sdi_catalog/salesItemDetails.do?id=99028</v>
      </c>
      <c r="B1817" s="6" t="s">
        <v>4345</v>
      </c>
      <c r="C1817" s="6" t="s">
        <v>4341</v>
      </c>
      <c r="D1817" s="6" t="s">
        <v>4342</v>
      </c>
      <c r="E1817" s="6" t="s">
        <v>4343</v>
      </c>
      <c r="F1817" s="6" t="s">
        <v>16</v>
      </c>
      <c r="G1817" s="6" t="s">
        <v>310</v>
      </c>
      <c r="H1817" s="6"/>
      <c r="I1817" s="7" t="n">
        <v>38991</v>
      </c>
      <c r="J1817" s="6" t="s">
        <v>19</v>
      </c>
      <c r="K1817" s="6"/>
    </row>
    <row r="1818" customFormat="false" ht="12.8" hidden="false" customHeight="false" outlineLevel="0" collapsed="false">
      <c r="A1818" s="8" t="str">
        <f aca="false">HYPERLINK("https://www.fabsurplus.com/sdi_catalog/salesItemDetails.do?id=99027")</f>
        <v>https://www.fabsurplus.com/sdi_catalog/salesItemDetails.do?id=99027</v>
      </c>
      <c r="B1818" s="8" t="s">
        <v>4346</v>
      </c>
      <c r="C1818" s="8" t="s">
        <v>4341</v>
      </c>
      <c r="D1818" s="8" t="s">
        <v>4342</v>
      </c>
      <c r="E1818" s="8" t="s">
        <v>4343</v>
      </c>
      <c r="F1818" s="8" t="s">
        <v>16</v>
      </c>
      <c r="G1818" s="8"/>
      <c r="H1818" s="8"/>
      <c r="I1818" s="9" t="n">
        <v>39234</v>
      </c>
      <c r="J1818" s="8" t="s">
        <v>19</v>
      </c>
      <c r="K1818" s="8"/>
    </row>
    <row r="1819" customFormat="false" ht="12.8" hidden="false" customHeight="false" outlineLevel="0" collapsed="false">
      <c r="A1819" s="6" t="str">
        <f aca="false">HYPERLINK("https://www.fabsurplus.com/sdi_catalog/salesItemDetails.do?id=98832")</f>
        <v>https://www.fabsurplus.com/sdi_catalog/salesItemDetails.do?id=98832</v>
      </c>
      <c r="B1819" s="6" t="s">
        <v>4347</v>
      </c>
      <c r="C1819" s="6" t="s">
        <v>4341</v>
      </c>
      <c r="D1819" s="6" t="s">
        <v>4342</v>
      </c>
      <c r="E1819" s="6" t="s">
        <v>4343</v>
      </c>
      <c r="F1819" s="6" t="s">
        <v>16</v>
      </c>
      <c r="G1819" s="6" t="s">
        <v>310</v>
      </c>
      <c r="H1819" s="6"/>
      <c r="I1819" s="7" t="n">
        <v>40118</v>
      </c>
      <c r="J1819" s="6" t="s">
        <v>19</v>
      </c>
      <c r="K1819" s="6"/>
    </row>
    <row r="1820" customFormat="false" ht="12.8" hidden="false" customHeight="false" outlineLevel="0" collapsed="false">
      <c r="A1820" s="8" t="str">
        <f aca="false">HYPERLINK("https://www.fabsurplus.com/sdi_catalog/salesItemDetails.do?id=98831")</f>
        <v>https://www.fabsurplus.com/sdi_catalog/salesItemDetails.do?id=98831</v>
      </c>
      <c r="B1820" s="8" t="s">
        <v>4348</v>
      </c>
      <c r="C1820" s="8" t="s">
        <v>4341</v>
      </c>
      <c r="D1820" s="8" t="s">
        <v>4342</v>
      </c>
      <c r="E1820" s="8" t="s">
        <v>4343</v>
      </c>
      <c r="F1820" s="8" t="s">
        <v>16</v>
      </c>
      <c r="G1820" s="8" t="s">
        <v>310</v>
      </c>
      <c r="H1820" s="8"/>
      <c r="I1820" s="9" t="n">
        <v>38412</v>
      </c>
      <c r="J1820" s="8" t="s">
        <v>19</v>
      </c>
      <c r="K1820" s="8"/>
    </row>
    <row r="1821" customFormat="false" ht="12.8" hidden="false" customHeight="false" outlineLevel="0" collapsed="false">
      <c r="A1821" s="6" t="str">
        <f aca="false">HYPERLINK("https://www.fabsurplus.com/sdi_catalog/salesItemDetails.do?id=100220")</f>
        <v>https://www.fabsurplus.com/sdi_catalog/salesItemDetails.do?id=100220</v>
      </c>
      <c r="B1821" s="6" t="s">
        <v>4349</v>
      </c>
      <c r="C1821" s="6" t="s">
        <v>4333</v>
      </c>
      <c r="D1821" s="6" t="s">
        <v>4350</v>
      </c>
      <c r="E1821" s="6" t="s">
        <v>3553</v>
      </c>
      <c r="F1821" s="6" t="s">
        <v>16</v>
      </c>
      <c r="G1821" s="6" t="s">
        <v>686</v>
      </c>
      <c r="H1821" s="6"/>
      <c r="I1821" s="6"/>
      <c r="J1821" s="6" t="s">
        <v>19</v>
      </c>
      <c r="K1821" s="6"/>
    </row>
    <row r="1822" customFormat="false" ht="12.8" hidden="false" customHeight="false" outlineLevel="0" collapsed="false">
      <c r="A1822" s="8" t="str">
        <f aca="false">HYPERLINK("https://www.fabsurplus.com/sdi_catalog/salesItemDetails.do?id=100221")</f>
        <v>https://www.fabsurplus.com/sdi_catalog/salesItemDetails.do?id=100221</v>
      </c>
      <c r="B1822" s="8" t="s">
        <v>4351</v>
      </c>
      <c r="C1822" s="8" t="s">
        <v>4333</v>
      </c>
      <c r="D1822" s="8" t="s">
        <v>4352</v>
      </c>
      <c r="E1822" s="8" t="s">
        <v>4353</v>
      </c>
      <c r="F1822" s="8" t="s">
        <v>16</v>
      </c>
      <c r="G1822" s="8" t="s">
        <v>686</v>
      </c>
      <c r="H1822" s="8"/>
      <c r="I1822" s="9" t="n">
        <v>41791</v>
      </c>
      <c r="J1822" s="8" t="s">
        <v>19</v>
      </c>
      <c r="K1822" s="8"/>
    </row>
    <row r="1823" customFormat="false" ht="12.8" hidden="false" customHeight="false" outlineLevel="0" collapsed="false">
      <c r="A1823" s="6" t="str">
        <f aca="false">HYPERLINK("https://www.fabsurplus.com/sdi_catalog/salesItemDetails.do?id=98155")</f>
        <v>https://www.fabsurplus.com/sdi_catalog/salesItemDetails.do?id=98155</v>
      </c>
      <c r="B1823" s="6" t="s">
        <v>4354</v>
      </c>
      <c r="C1823" s="6" t="s">
        <v>4333</v>
      </c>
      <c r="D1823" s="6" t="s">
        <v>4355</v>
      </c>
      <c r="E1823" s="6" t="s">
        <v>1960</v>
      </c>
      <c r="F1823" s="6" t="s">
        <v>16</v>
      </c>
      <c r="G1823" s="6" t="s">
        <v>310</v>
      </c>
      <c r="H1823" s="6"/>
      <c r="I1823" s="7" t="n">
        <v>39965</v>
      </c>
      <c r="J1823" s="6" t="s">
        <v>19</v>
      </c>
      <c r="K1823" s="6"/>
    </row>
    <row r="1824" customFormat="false" ht="12.8" hidden="false" customHeight="false" outlineLevel="0" collapsed="false">
      <c r="A1824" s="8" t="str">
        <f aca="false">HYPERLINK("https://www.fabsurplus.com/sdi_catalog/salesItemDetails.do?id=98154")</f>
        <v>https://www.fabsurplus.com/sdi_catalog/salesItemDetails.do?id=98154</v>
      </c>
      <c r="B1824" s="8" t="s">
        <v>4356</v>
      </c>
      <c r="C1824" s="8" t="s">
        <v>4333</v>
      </c>
      <c r="D1824" s="8" t="s">
        <v>4355</v>
      </c>
      <c r="E1824" s="8" t="s">
        <v>1960</v>
      </c>
      <c r="F1824" s="8" t="s">
        <v>16</v>
      </c>
      <c r="G1824" s="8" t="s">
        <v>310</v>
      </c>
      <c r="H1824" s="8"/>
      <c r="I1824" s="9" t="n">
        <v>39965</v>
      </c>
      <c r="J1824" s="8" t="s">
        <v>19</v>
      </c>
      <c r="K1824" s="8"/>
    </row>
    <row r="1825" customFormat="false" ht="12.8" hidden="false" customHeight="false" outlineLevel="0" collapsed="false">
      <c r="A1825" s="6" t="str">
        <f aca="false">HYPERLINK("https://www.fabsurplus.com/sdi_catalog/salesItemDetails.do?id=98153")</f>
        <v>https://www.fabsurplus.com/sdi_catalog/salesItemDetails.do?id=98153</v>
      </c>
      <c r="B1825" s="6" t="s">
        <v>4357</v>
      </c>
      <c r="C1825" s="6" t="s">
        <v>4333</v>
      </c>
      <c r="D1825" s="6" t="s">
        <v>4355</v>
      </c>
      <c r="E1825" s="6" t="s">
        <v>1960</v>
      </c>
      <c r="F1825" s="6" t="s">
        <v>16</v>
      </c>
      <c r="G1825" s="6" t="s">
        <v>310</v>
      </c>
      <c r="H1825" s="6"/>
      <c r="I1825" s="7" t="n">
        <v>40695</v>
      </c>
      <c r="J1825" s="6" t="s">
        <v>19</v>
      </c>
      <c r="K1825" s="6"/>
    </row>
    <row r="1826" customFormat="false" ht="12.8" hidden="false" customHeight="false" outlineLevel="0" collapsed="false">
      <c r="A1826" s="6" t="str">
        <f aca="false">HYPERLINK("https://www.fabsurplus.com/sdi_catalog/salesItemDetails.do?id=98482")</f>
        <v>https://www.fabsurplus.com/sdi_catalog/salesItemDetails.do?id=98482</v>
      </c>
      <c r="B1826" s="6" t="s">
        <v>4358</v>
      </c>
      <c r="C1826" s="6" t="s">
        <v>4333</v>
      </c>
      <c r="D1826" s="6" t="s">
        <v>4359</v>
      </c>
      <c r="E1826" s="6" t="s">
        <v>4360</v>
      </c>
      <c r="F1826" s="6" t="s">
        <v>16</v>
      </c>
      <c r="G1826" s="6" t="s">
        <v>686</v>
      </c>
      <c r="H1826" s="6"/>
      <c r="I1826" s="6"/>
      <c r="J1826" s="6" t="s">
        <v>19</v>
      </c>
      <c r="K1826" s="6"/>
    </row>
    <row r="1827" customFormat="false" ht="12.8" hidden="false" customHeight="false" outlineLevel="0" collapsed="false">
      <c r="A1827" s="6" t="str">
        <f aca="false">HYPERLINK("https://www.fabsurplus.com/sdi_catalog/salesItemDetails.do?id=98291")</f>
        <v>https://www.fabsurplus.com/sdi_catalog/salesItemDetails.do?id=98291</v>
      </c>
      <c r="B1827" s="6" t="s">
        <v>4361</v>
      </c>
      <c r="C1827" s="6" t="s">
        <v>4341</v>
      </c>
      <c r="D1827" s="6" t="s">
        <v>4362</v>
      </c>
      <c r="E1827" s="6" t="s">
        <v>4363</v>
      </c>
      <c r="F1827" s="6" t="s">
        <v>16</v>
      </c>
      <c r="G1827" s="6" t="s">
        <v>310</v>
      </c>
      <c r="H1827" s="6"/>
      <c r="I1827" s="7" t="n">
        <v>38869</v>
      </c>
      <c r="J1827" s="6" t="s">
        <v>19</v>
      </c>
      <c r="K1827" s="6"/>
    </row>
    <row r="1828" customFormat="false" ht="12.8" hidden="false" customHeight="false" outlineLevel="0" collapsed="false">
      <c r="A1828" s="8" t="str">
        <f aca="false">HYPERLINK("https://www.fabsurplus.com/sdi_catalog/salesItemDetails.do?id=98290")</f>
        <v>https://www.fabsurplus.com/sdi_catalog/salesItemDetails.do?id=98290</v>
      </c>
      <c r="B1828" s="8" t="s">
        <v>4364</v>
      </c>
      <c r="C1828" s="8" t="s">
        <v>4341</v>
      </c>
      <c r="D1828" s="8" t="s">
        <v>4362</v>
      </c>
      <c r="E1828" s="8" t="s">
        <v>4363</v>
      </c>
      <c r="F1828" s="8" t="s">
        <v>16</v>
      </c>
      <c r="G1828" s="8" t="s">
        <v>310</v>
      </c>
      <c r="H1828" s="8"/>
      <c r="I1828" s="9" t="n">
        <v>38504</v>
      </c>
      <c r="J1828" s="8" t="s">
        <v>19</v>
      </c>
      <c r="K1828" s="8"/>
    </row>
    <row r="1829" customFormat="false" ht="12.8" hidden="false" customHeight="false" outlineLevel="0" collapsed="false">
      <c r="A1829" s="6" t="str">
        <f aca="false">HYPERLINK("https://www.fabsurplus.com/sdi_catalog/salesItemDetails.do?id=98289")</f>
        <v>https://www.fabsurplus.com/sdi_catalog/salesItemDetails.do?id=98289</v>
      </c>
      <c r="B1829" s="6" t="s">
        <v>4365</v>
      </c>
      <c r="C1829" s="6" t="s">
        <v>4341</v>
      </c>
      <c r="D1829" s="6" t="s">
        <v>4362</v>
      </c>
      <c r="E1829" s="6" t="s">
        <v>4363</v>
      </c>
      <c r="F1829" s="6" t="s">
        <v>16</v>
      </c>
      <c r="G1829" s="6" t="s">
        <v>310</v>
      </c>
      <c r="H1829" s="6"/>
      <c r="I1829" s="7" t="n">
        <v>38504</v>
      </c>
      <c r="J1829" s="6" t="s">
        <v>19</v>
      </c>
      <c r="K1829" s="6"/>
    </row>
    <row r="1830" customFormat="false" ht="12.8" hidden="false" customHeight="false" outlineLevel="0" collapsed="false">
      <c r="A1830" s="8" t="str">
        <f aca="false">HYPERLINK("https://www.fabsurplus.com/sdi_catalog/salesItemDetails.do?id=97024")</f>
        <v>https://www.fabsurplus.com/sdi_catalog/salesItemDetails.do?id=97024</v>
      </c>
      <c r="B1830" s="8" t="s">
        <v>4366</v>
      </c>
      <c r="C1830" s="8" t="s">
        <v>4333</v>
      </c>
      <c r="D1830" s="8" t="s">
        <v>4367</v>
      </c>
      <c r="E1830" s="8" t="s">
        <v>4368</v>
      </c>
      <c r="F1830" s="8" t="s">
        <v>16</v>
      </c>
      <c r="G1830" s="8" t="s">
        <v>310</v>
      </c>
      <c r="H1830" s="8" t="s">
        <v>18</v>
      </c>
      <c r="I1830" s="9" t="n">
        <v>40360</v>
      </c>
      <c r="J1830" s="8" t="s">
        <v>19</v>
      </c>
      <c r="K1830" s="8" t="s">
        <v>20</v>
      </c>
    </row>
    <row r="1831" customFormat="false" ht="12.8" hidden="false" customHeight="false" outlineLevel="0" collapsed="false">
      <c r="A1831" s="6" t="str">
        <f aca="false">HYPERLINK("https://www.fabsurplus.com/sdi_catalog/salesItemDetails.do?id=100222")</f>
        <v>https://www.fabsurplus.com/sdi_catalog/salesItemDetails.do?id=100222</v>
      </c>
      <c r="B1831" s="6" t="s">
        <v>4369</v>
      </c>
      <c r="C1831" s="6" t="s">
        <v>4333</v>
      </c>
      <c r="D1831" s="6" t="s">
        <v>4370</v>
      </c>
      <c r="E1831" s="6" t="s">
        <v>4353</v>
      </c>
      <c r="F1831" s="6" t="s">
        <v>16</v>
      </c>
      <c r="G1831" s="6" t="s">
        <v>686</v>
      </c>
      <c r="H1831" s="6"/>
      <c r="I1831" s="7" t="n">
        <v>43252</v>
      </c>
      <c r="J1831" s="6" t="s">
        <v>19</v>
      </c>
      <c r="K1831" s="6"/>
    </row>
    <row r="1832" customFormat="false" ht="12.8" hidden="false" customHeight="false" outlineLevel="0" collapsed="false">
      <c r="A1832" s="8" t="str">
        <f aca="false">HYPERLINK("https://www.fabsurplus.com/sdi_catalog/salesItemDetails.do?id=98483")</f>
        <v>https://www.fabsurplus.com/sdi_catalog/salesItemDetails.do?id=98483</v>
      </c>
      <c r="B1832" s="8" t="s">
        <v>4371</v>
      </c>
      <c r="C1832" s="8" t="s">
        <v>4333</v>
      </c>
      <c r="D1832" s="8" t="s">
        <v>4372</v>
      </c>
      <c r="E1832" s="8" t="s">
        <v>4373</v>
      </c>
      <c r="F1832" s="8" t="s">
        <v>16</v>
      </c>
      <c r="G1832" s="8" t="s">
        <v>310</v>
      </c>
      <c r="H1832" s="8" t="s">
        <v>33</v>
      </c>
      <c r="I1832" s="8"/>
      <c r="J1832" s="8" t="s">
        <v>19</v>
      </c>
      <c r="K1832" s="8" t="s">
        <v>20</v>
      </c>
    </row>
    <row r="1833" customFormat="false" ht="12.8" hidden="false" customHeight="false" outlineLevel="0" collapsed="false">
      <c r="A1833" s="6" t="str">
        <f aca="false">HYPERLINK("https://www.fabsurplus.com/sdi_catalog/salesItemDetails.do?id=98508")</f>
        <v>https://www.fabsurplus.com/sdi_catalog/salesItemDetails.do?id=98508</v>
      </c>
      <c r="B1833" s="6" t="s">
        <v>4374</v>
      </c>
      <c r="C1833" s="6" t="s">
        <v>4333</v>
      </c>
      <c r="D1833" s="6" t="s">
        <v>4375</v>
      </c>
      <c r="E1833" s="6" t="s">
        <v>3657</v>
      </c>
      <c r="F1833" s="6" t="s">
        <v>16</v>
      </c>
      <c r="G1833" s="6" t="s">
        <v>32</v>
      </c>
      <c r="H1833" s="6"/>
      <c r="I1833" s="6"/>
      <c r="J1833" s="6" t="s">
        <v>19</v>
      </c>
      <c r="K1833" s="6"/>
    </row>
    <row r="1834" customFormat="false" ht="12.8" hidden="false" customHeight="false" outlineLevel="0" collapsed="false">
      <c r="A1834" s="6" t="str">
        <f aca="false">HYPERLINK("https://www.fabsurplus.com/sdi_catalog/salesItemDetails.do?id=98315")</f>
        <v>https://www.fabsurplus.com/sdi_catalog/salesItemDetails.do?id=98315</v>
      </c>
      <c r="B1834" s="6" t="s">
        <v>4376</v>
      </c>
      <c r="C1834" s="6" t="s">
        <v>4333</v>
      </c>
      <c r="D1834" s="6" t="s">
        <v>4377</v>
      </c>
      <c r="E1834" s="6" t="s">
        <v>3657</v>
      </c>
      <c r="F1834" s="6" t="s">
        <v>16</v>
      </c>
      <c r="G1834" s="6" t="s">
        <v>32</v>
      </c>
      <c r="H1834" s="6" t="s">
        <v>311</v>
      </c>
      <c r="I1834" s="7" t="n">
        <v>33756</v>
      </c>
      <c r="J1834" s="6" t="s">
        <v>81</v>
      </c>
      <c r="K1834" s="6" t="s">
        <v>20</v>
      </c>
    </row>
    <row r="1835" customFormat="false" ht="12.8" hidden="false" customHeight="false" outlineLevel="0" collapsed="false">
      <c r="A1835" s="8" t="str">
        <f aca="false">HYPERLINK("https://www.fabsurplus.com/sdi_catalog/salesItemDetails.do?id=98410")</f>
        <v>https://www.fabsurplus.com/sdi_catalog/salesItemDetails.do?id=98410</v>
      </c>
      <c r="B1835" s="8" t="s">
        <v>4378</v>
      </c>
      <c r="C1835" s="8" t="s">
        <v>392</v>
      </c>
      <c r="D1835" s="8" t="s">
        <v>4379</v>
      </c>
      <c r="E1835" s="8" t="s">
        <v>429</v>
      </c>
      <c r="F1835" s="8" t="s">
        <v>16</v>
      </c>
      <c r="G1835" s="8"/>
      <c r="H1835" s="8"/>
      <c r="I1835" s="8"/>
      <c r="J1835" s="8" t="s">
        <v>19</v>
      </c>
      <c r="K1835" s="8"/>
    </row>
    <row r="1836" customFormat="false" ht="12.8" hidden="false" customHeight="false" outlineLevel="0" collapsed="false">
      <c r="A1836" s="6" t="str">
        <f aca="false">HYPERLINK("https://www.fabsurplus.com/sdi_catalog/salesItemDetails.do?id=98411")</f>
        <v>https://www.fabsurplus.com/sdi_catalog/salesItemDetails.do?id=98411</v>
      </c>
      <c r="B1836" s="6" t="s">
        <v>4380</v>
      </c>
      <c r="C1836" s="6" t="s">
        <v>392</v>
      </c>
      <c r="D1836" s="6" t="s">
        <v>4381</v>
      </c>
      <c r="E1836" s="6" t="s">
        <v>429</v>
      </c>
      <c r="F1836" s="6" t="s">
        <v>16</v>
      </c>
      <c r="G1836" s="6"/>
      <c r="H1836" s="6"/>
      <c r="I1836" s="6"/>
      <c r="J1836" s="6" t="s">
        <v>19</v>
      </c>
      <c r="K1836" s="6"/>
    </row>
    <row r="1837" customFormat="false" ht="12.8" hidden="false" customHeight="false" outlineLevel="0" collapsed="false">
      <c r="A1837" s="8" t="str">
        <f aca="false">HYPERLINK("https://www.fabsurplus.com/sdi_catalog/salesItemDetails.do?id=98412")</f>
        <v>https://www.fabsurplus.com/sdi_catalog/salesItemDetails.do?id=98412</v>
      </c>
      <c r="B1837" s="8" t="s">
        <v>4382</v>
      </c>
      <c r="C1837" s="8" t="s">
        <v>392</v>
      </c>
      <c r="D1837" s="8" t="s">
        <v>4383</v>
      </c>
      <c r="E1837" s="8" t="s">
        <v>429</v>
      </c>
      <c r="F1837" s="8" t="s">
        <v>16</v>
      </c>
      <c r="G1837" s="8"/>
      <c r="H1837" s="8"/>
      <c r="I1837" s="8"/>
      <c r="J1837" s="8" t="s">
        <v>19</v>
      </c>
      <c r="K1837" s="8"/>
    </row>
    <row r="1838" customFormat="false" ht="12.8" hidden="false" customHeight="false" outlineLevel="0" collapsed="false">
      <c r="A1838" s="6" t="str">
        <f aca="false">HYPERLINK("https://www.fabsurplus.com/sdi_catalog/salesItemDetails.do?id=98413")</f>
        <v>https://www.fabsurplus.com/sdi_catalog/salesItemDetails.do?id=98413</v>
      </c>
      <c r="B1838" s="6" t="s">
        <v>4384</v>
      </c>
      <c r="C1838" s="6" t="s">
        <v>392</v>
      </c>
      <c r="D1838" s="6" t="s">
        <v>4385</v>
      </c>
      <c r="E1838" s="6" t="s">
        <v>429</v>
      </c>
      <c r="F1838" s="6" t="s">
        <v>611</v>
      </c>
      <c r="G1838" s="6"/>
      <c r="H1838" s="6"/>
      <c r="I1838" s="6"/>
      <c r="J1838" s="6" t="s">
        <v>19</v>
      </c>
      <c r="K1838" s="6"/>
    </row>
    <row r="1839" customFormat="false" ht="12.8" hidden="false" customHeight="false" outlineLevel="0" collapsed="false">
      <c r="A1839" s="6" t="str">
        <f aca="false">HYPERLINK("https://www.fabsurplus.com/sdi_catalog/salesItemDetails.do?id=97868")</f>
        <v>https://www.fabsurplus.com/sdi_catalog/salesItemDetails.do?id=97868</v>
      </c>
      <c r="B1839" s="6" t="s">
        <v>4386</v>
      </c>
      <c r="C1839" s="6" t="s">
        <v>4387</v>
      </c>
      <c r="D1839" s="6" t="s">
        <v>4388</v>
      </c>
      <c r="E1839" s="6" t="s">
        <v>4389</v>
      </c>
      <c r="F1839" s="6" t="s">
        <v>16</v>
      </c>
      <c r="G1839" s="6"/>
      <c r="H1839" s="6"/>
      <c r="I1839" s="6"/>
      <c r="J1839" s="6" t="s">
        <v>19</v>
      </c>
      <c r="K1839" s="6"/>
    </row>
    <row r="1840" customFormat="false" ht="12.8" hidden="false" customHeight="false" outlineLevel="0" collapsed="false">
      <c r="A1840" s="6" t="str">
        <f aca="false">HYPERLINK("https://www.fabsurplus.com/sdi_catalog/salesItemDetails.do?id=98615")</f>
        <v>https://www.fabsurplus.com/sdi_catalog/salesItemDetails.do?id=98615</v>
      </c>
      <c r="B1840" s="6" t="s">
        <v>4390</v>
      </c>
      <c r="C1840" s="6" t="s">
        <v>4391</v>
      </c>
      <c r="D1840" s="6" t="s">
        <v>4392</v>
      </c>
      <c r="E1840" s="6" t="s">
        <v>4393</v>
      </c>
      <c r="F1840" s="6" t="s">
        <v>16</v>
      </c>
      <c r="G1840" s="6" t="s">
        <v>38</v>
      </c>
      <c r="H1840" s="6"/>
      <c r="I1840" s="6"/>
      <c r="J1840" s="6" t="s">
        <v>19</v>
      </c>
      <c r="K1840" s="6"/>
    </row>
    <row r="1841" customFormat="false" ht="12.8" hidden="false" customHeight="false" outlineLevel="0" collapsed="false">
      <c r="A1841" s="8" t="str">
        <f aca="false">HYPERLINK("https://www.fabsurplus.com/sdi_catalog/salesItemDetails.do?id=97951")</f>
        <v>https://www.fabsurplus.com/sdi_catalog/salesItemDetails.do?id=97951</v>
      </c>
      <c r="B1841" s="8" t="s">
        <v>4394</v>
      </c>
      <c r="C1841" s="8" t="s">
        <v>4395</v>
      </c>
      <c r="D1841" s="8" t="s">
        <v>4396</v>
      </c>
      <c r="E1841" s="8" t="s">
        <v>4397</v>
      </c>
      <c r="F1841" s="8" t="s">
        <v>611</v>
      </c>
      <c r="G1841" s="8" t="s">
        <v>1851</v>
      </c>
      <c r="H1841" s="8"/>
      <c r="I1841" s="8"/>
      <c r="J1841" s="8" t="s">
        <v>81</v>
      </c>
      <c r="K1841" s="8"/>
    </row>
    <row r="1842" customFormat="false" ht="12.8" hidden="false" customHeight="false" outlineLevel="0" collapsed="false">
      <c r="A1842" s="6" t="str">
        <f aca="false">HYPERLINK("https://www.fabsurplus.com/sdi_catalog/salesItemDetails.do?id=97950")</f>
        <v>https://www.fabsurplus.com/sdi_catalog/salesItemDetails.do?id=97950</v>
      </c>
      <c r="B1842" s="6" t="s">
        <v>4398</v>
      </c>
      <c r="C1842" s="6" t="s">
        <v>4395</v>
      </c>
      <c r="D1842" s="6" t="s">
        <v>4399</v>
      </c>
      <c r="E1842" s="6" t="s">
        <v>4397</v>
      </c>
      <c r="F1842" s="6" t="s">
        <v>16</v>
      </c>
      <c r="G1842" s="6" t="s">
        <v>1851</v>
      </c>
      <c r="H1842" s="6"/>
      <c r="I1842" s="6"/>
      <c r="J1842" s="6" t="s">
        <v>81</v>
      </c>
      <c r="K1842" s="6"/>
    </row>
    <row r="1843" customFormat="false" ht="12.8" hidden="false" customHeight="false" outlineLevel="0" collapsed="false">
      <c r="A1843" s="8" t="str">
        <f aca="false">HYPERLINK("https://www.fabsurplus.com/sdi_catalog/salesItemDetails.do?id=98922")</f>
        <v>https://www.fabsurplus.com/sdi_catalog/salesItemDetails.do?id=98922</v>
      </c>
      <c r="B1843" s="8" t="s">
        <v>4400</v>
      </c>
      <c r="C1843" s="8" t="s">
        <v>4401</v>
      </c>
      <c r="D1843" s="8" t="s">
        <v>4402</v>
      </c>
      <c r="E1843" s="8" t="s">
        <v>2108</v>
      </c>
      <c r="F1843" s="8" t="s">
        <v>16</v>
      </c>
      <c r="G1843" s="8"/>
      <c r="H1843" s="8"/>
      <c r="I1843" s="8"/>
      <c r="J1843" s="8" t="s">
        <v>19</v>
      </c>
      <c r="K1843" s="8"/>
    </row>
    <row r="1844" customFormat="false" ht="12.8" hidden="false" customHeight="false" outlineLevel="0" collapsed="false">
      <c r="A1844" s="6" t="str">
        <f aca="false">HYPERLINK("https://www.fabsurplus.com/sdi_catalog/salesItemDetails.do?id=97897")</f>
        <v>https://www.fabsurplus.com/sdi_catalog/salesItemDetails.do?id=97897</v>
      </c>
      <c r="B1844" s="6" t="s">
        <v>4403</v>
      </c>
      <c r="C1844" s="6" t="s">
        <v>4404</v>
      </c>
      <c r="D1844" s="6" t="s">
        <v>4405</v>
      </c>
      <c r="E1844" s="6" t="s">
        <v>4406</v>
      </c>
      <c r="F1844" s="6" t="s">
        <v>16</v>
      </c>
      <c r="G1844" s="6" t="s">
        <v>4407</v>
      </c>
      <c r="H1844" s="6"/>
      <c r="I1844" s="7" t="n">
        <v>38504</v>
      </c>
      <c r="J1844" s="6" t="s">
        <v>19</v>
      </c>
      <c r="K1844" s="6"/>
    </row>
    <row r="1845" customFormat="false" ht="12.8" hidden="false" customHeight="false" outlineLevel="0" collapsed="false">
      <c r="A1845" s="8" t="str">
        <f aca="false">HYPERLINK("https://www.fabsurplus.com/sdi_catalog/salesItemDetails.do?id=97026")</f>
        <v>https://www.fabsurplus.com/sdi_catalog/salesItemDetails.do?id=97026</v>
      </c>
      <c r="B1845" s="8" t="s">
        <v>4408</v>
      </c>
      <c r="C1845" s="8" t="s">
        <v>4404</v>
      </c>
      <c r="D1845" s="8" t="s">
        <v>4409</v>
      </c>
      <c r="E1845" s="8" t="s">
        <v>4410</v>
      </c>
      <c r="F1845" s="8" t="s">
        <v>16</v>
      </c>
      <c r="G1845" s="8" t="s">
        <v>32</v>
      </c>
      <c r="H1845" s="8"/>
      <c r="I1845" s="8"/>
      <c r="J1845" s="8" t="s">
        <v>19</v>
      </c>
      <c r="K1845" s="8"/>
    </row>
    <row r="1846" customFormat="false" ht="12.8" hidden="false" customHeight="false" outlineLevel="0" collapsed="false">
      <c r="A1846" s="6" t="str">
        <f aca="false">HYPERLINK("https://www.fabsurplus.com/sdi_catalog/salesItemDetails.do?id=97025")</f>
        <v>https://www.fabsurplus.com/sdi_catalog/salesItemDetails.do?id=97025</v>
      </c>
      <c r="B1846" s="6" t="s">
        <v>4411</v>
      </c>
      <c r="C1846" s="6" t="s">
        <v>4404</v>
      </c>
      <c r="D1846" s="6" t="s">
        <v>4409</v>
      </c>
      <c r="E1846" s="6" t="s">
        <v>4410</v>
      </c>
      <c r="F1846" s="6" t="s">
        <v>16</v>
      </c>
      <c r="G1846" s="6" t="s">
        <v>32</v>
      </c>
      <c r="H1846" s="6"/>
      <c r="I1846" s="6"/>
      <c r="J1846" s="6" t="s">
        <v>19</v>
      </c>
      <c r="K1846" s="6"/>
    </row>
    <row r="1847" customFormat="false" ht="12.8" hidden="false" customHeight="false" outlineLevel="0" collapsed="false">
      <c r="A1847" s="8" t="str">
        <f aca="false">HYPERLINK("https://www.fabsurplus.com/sdi_catalog/salesItemDetails.do?id=97952")</f>
        <v>https://www.fabsurplus.com/sdi_catalog/salesItemDetails.do?id=97952</v>
      </c>
      <c r="B1847" s="8" t="s">
        <v>4412</v>
      </c>
      <c r="C1847" s="8" t="s">
        <v>4413</v>
      </c>
      <c r="D1847" s="8" t="s">
        <v>4414</v>
      </c>
      <c r="E1847" s="8" t="s">
        <v>4415</v>
      </c>
      <c r="F1847" s="8" t="s">
        <v>16</v>
      </c>
      <c r="G1847" s="8" t="s">
        <v>1851</v>
      </c>
      <c r="H1847" s="8"/>
      <c r="I1847" s="8"/>
      <c r="J1847" s="8" t="s">
        <v>81</v>
      </c>
      <c r="K1847" s="8"/>
    </row>
    <row r="1848" customFormat="false" ht="12.8" hidden="false" customHeight="false" outlineLevel="0" collapsed="false">
      <c r="A1848" s="6" t="str">
        <f aca="false">HYPERLINK("https://www.fabsurplus.com/sdi_catalog/salesItemDetails.do?id=97953")</f>
        <v>https://www.fabsurplus.com/sdi_catalog/salesItemDetails.do?id=97953</v>
      </c>
      <c r="B1848" s="6" t="s">
        <v>4416</v>
      </c>
      <c r="C1848" s="6" t="s">
        <v>4413</v>
      </c>
      <c r="D1848" s="6" t="s">
        <v>4417</v>
      </c>
      <c r="E1848" s="6" t="s">
        <v>4418</v>
      </c>
      <c r="F1848" s="6" t="s">
        <v>913</v>
      </c>
      <c r="G1848" s="6" t="s">
        <v>1851</v>
      </c>
      <c r="H1848" s="6"/>
      <c r="I1848" s="6"/>
      <c r="J1848" s="6" t="s">
        <v>81</v>
      </c>
      <c r="K1848" s="6"/>
    </row>
    <row r="1849" customFormat="false" ht="12.8" hidden="false" customHeight="false" outlineLevel="0" collapsed="false">
      <c r="A1849" s="6" t="str">
        <f aca="false">HYPERLINK("https://www.fabsurplus.com/sdi_catalog/salesItemDetails.do?id=97708")</f>
        <v>https://www.fabsurplus.com/sdi_catalog/salesItemDetails.do?id=97708</v>
      </c>
      <c r="B1849" s="6" t="s">
        <v>4419</v>
      </c>
      <c r="C1849" s="6" t="s">
        <v>4420</v>
      </c>
      <c r="D1849" s="6" t="s">
        <v>4421</v>
      </c>
      <c r="E1849" s="6" t="s">
        <v>4422</v>
      </c>
      <c r="F1849" s="6" t="s">
        <v>16</v>
      </c>
      <c r="G1849" s="6" t="s">
        <v>310</v>
      </c>
      <c r="H1849" s="6"/>
      <c r="I1849" s="6"/>
      <c r="J1849" s="6" t="s">
        <v>19</v>
      </c>
      <c r="K1849" s="6"/>
    </row>
    <row r="1850" customFormat="false" ht="12.8" hidden="false" customHeight="false" outlineLevel="0" collapsed="false">
      <c r="A1850" s="8" t="str">
        <f aca="false">HYPERLINK("https://www.fabsurplus.com/sdi_catalog/salesItemDetails.do?id=96890")</f>
        <v>https://www.fabsurplus.com/sdi_catalog/salesItemDetails.do?id=96890</v>
      </c>
      <c r="B1850" s="8" t="s">
        <v>4423</v>
      </c>
      <c r="C1850" s="8" t="s">
        <v>4420</v>
      </c>
      <c r="D1850" s="8" t="s">
        <v>4421</v>
      </c>
      <c r="E1850" s="8" t="s">
        <v>4422</v>
      </c>
      <c r="F1850" s="8" t="s">
        <v>16</v>
      </c>
      <c r="G1850" s="8" t="s">
        <v>310</v>
      </c>
      <c r="H1850" s="8"/>
      <c r="I1850" s="9" t="n">
        <v>38718</v>
      </c>
      <c r="J1850" s="8" t="s">
        <v>19</v>
      </c>
      <c r="K1850" s="8"/>
    </row>
    <row r="1851" customFormat="false" ht="12.8" hidden="false" customHeight="false" outlineLevel="0" collapsed="false">
      <c r="A1851" s="8" t="str">
        <f aca="false">HYPERLINK("https://www.fabsurplus.com/sdi_catalog/salesItemDetails.do?id=100224")</f>
        <v>https://www.fabsurplus.com/sdi_catalog/salesItemDetails.do?id=100224</v>
      </c>
      <c r="B1851" s="8" t="s">
        <v>4424</v>
      </c>
      <c r="C1851" s="8" t="s">
        <v>4420</v>
      </c>
      <c r="D1851" s="8" t="s">
        <v>4425</v>
      </c>
      <c r="E1851" s="8" t="s">
        <v>4422</v>
      </c>
      <c r="F1851" s="8" t="s">
        <v>16</v>
      </c>
      <c r="G1851" s="8" t="s">
        <v>686</v>
      </c>
      <c r="H1851" s="8"/>
      <c r="I1851" s="8"/>
      <c r="J1851" s="8" t="s">
        <v>19</v>
      </c>
      <c r="K1851" s="8"/>
    </row>
    <row r="1852" customFormat="false" ht="12.8" hidden="false" customHeight="false" outlineLevel="0" collapsed="false">
      <c r="A1852" s="6" t="str">
        <f aca="false">HYPERLINK("https://www.fabsurplus.com/sdi_catalog/salesItemDetails.do?id=100223")</f>
        <v>https://www.fabsurplus.com/sdi_catalog/salesItemDetails.do?id=100223</v>
      </c>
      <c r="B1852" s="6" t="s">
        <v>4426</v>
      </c>
      <c r="C1852" s="6" t="s">
        <v>4420</v>
      </c>
      <c r="D1852" s="6" t="s">
        <v>4425</v>
      </c>
      <c r="E1852" s="6" t="s">
        <v>4422</v>
      </c>
      <c r="F1852" s="6" t="s">
        <v>16</v>
      </c>
      <c r="G1852" s="6" t="s">
        <v>686</v>
      </c>
      <c r="H1852" s="6"/>
      <c r="I1852" s="6"/>
      <c r="J1852" s="6" t="s">
        <v>19</v>
      </c>
      <c r="K1852" s="6"/>
    </row>
    <row r="1853" customFormat="false" ht="12.8" hidden="false" customHeight="false" outlineLevel="0" collapsed="false">
      <c r="A1853" s="8" t="str">
        <f aca="false">HYPERLINK("https://www.fabsurplus.com/sdi_catalog/salesItemDetails.do?id=100226")</f>
        <v>https://www.fabsurplus.com/sdi_catalog/salesItemDetails.do?id=100226</v>
      </c>
      <c r="B1853" s="8" t="s">
        <v>4427</v>
      </c>
      <c r="C1853" s="8" t="s">
        <v>4420</v>
      </c>
      <c r="D1853" s="8" t="s">
        <v>4428</v>
      </c>
      <c r="E1853" s="8" t="s">
        <v>4422</v>
      </c>
      <c r="F1853" s="8" t="s">
        <v>16</v>
      </c>
      <c r="G1853" s="8" t="s">
        <v>686</v>
      </c>
      <c r="H1853" s="8"/>
      <c r="I1853" s="8"/>
      <c r="J1853" s="8" t="s">
        <v>19</v>
      </c>
      <c r="K1853" s="8"/>
    </row>
    <row r="1854" customFormat="false" ht="12.8" hidden="false" customHeight="false" outlineLevel="0" collapsed="false">
      <c r="A1854" s="6" t="str">
        <f aca="false">HYPERLINK("https://www.fabsurplus.com/sdi_catalog/salesItemDetails.do?id=100225")</f>
        <v>https://www.fabsurplus.com/sdi_catalog/salesItemDetails.do?id=100225</v>
      </c>
      <c r="B1854" s="6" t="s">
        <v>4429</v>
      </c>
      <c r="C1854" s="6" t="s">
        <v>4420</v>
      </c>
      <c r="D1854" s="6" t="s">
        <v>4428</v>
      </c>
      <c r="E1854" s="6" t="s">
        <v>4422</v>
      </c>
      <c r="F1854" s="6" t="s">
        <v>16</v>
      </c>
      <c r="G1854" s="6" t="s">
        <v>686</v>
      </c>
      <c r="H1854" s="6"/>
      <c r="I1854" s="6"/>
      <c r="J1854" s="6" t="s">
        <v>19</v>
      </c>
      <c r="K1854" s="6"/>
    </row>
    <row r="1855" customFormat="false" ht="12.8" hidden="false" customHeight="false" outlineLevel="0" collapsed="false">
      <c r="A1855" s="6" t="str">
        <f aca="false">HYPERLINK("https://www.fabsurplus.com/sdi_catalog/salesItemDetails.do?id=98484")</f>
        <v>https://www.fabsurplus.com/sdi_catalog/salesItemDetails.do?id=98484</v>
      </c>
      <c r="B1855" s="6" t="s">
        <v>4430</v>
      </c>
      <c r="C1855" s="6" t="s">
        <v>4420</v>
      </c>
      <c r="D1855" s="6" t="s">
        <v>4431</v>
      </c>
      <c r="E1855" s="6" t="s">
        <v>4045</v>
      </c>
      <c r="F1855" s="6" t="s">
        <v>16</v>
      </c>
      <c r="G1855" s="6" t="s">
        <v>4432</v>
      </c>
      <c r="H1855" s="6"/>
      <c r="I1855" s="6"/>
      <c r="J1855" s="6" t="s">
        <v>19</v>
      </c>
      <c r="K1855" s="6"/>
    </row>
    <row r="1856" customFormat="false" ht="12.8" hidden="false" customHeight="false" outlineLevel="0" collapsed="false">
      <c r="A1856" s="6" t="str">
        <f aca="false">HYPERLINK("https://www.fabsurplus.com/sdi_catalog/salesItemDetails.do?id=100708")</f>
        <v>https://www.fabsurplus.com/sdi_catalog/salesItemDetails.do?id=100708</v>
      </c>
      <c r="B1856" s="6" t="s">
        <v>4433</v>
      </c>
      <c r="C1856" s="6" t="s">
        <v>4420</v>
      </c>
      <c r="D1856" s="6" t="s">
        <v>4434</v>
      </c>
      <c r="E1856" s="6" t="s">
        <v>4048</v>
      </c>
      <c r="F1856" s="6" t="s">
        <v>16</v>
      </c>
      <c r="G1856" s="6"/>
      <c r="H1856" s="6"/>
      <c r="I1856" s="6"/>
      <c r="J1856" s="6" t="s">
        <v>19</v>
      </c>
      <c r="K1856" s="6"/>
    </row>
    <row r="1857" customFormat="false" ht="12.8" hidden="false" customHeight="false" outlineLevel="0" collapsed="false">
      <c r="A1857" s="6" t="str">
        <f aca="false">HYPERLINK("https://www.fabsurplus.com/sdi_catalog/salesItemDetails.do?id=99396")</f>
        <v>https://www.fabsurplus.com/sdi_catalog/salesItemDetails.do?id=99396</v>
      </c>
      <c r="B1857" s="6" t="s">
        <v>4435</v>
      </c>
      <c r="C1857" s="6" t="s">
        <v>4420</v>
      </c>
      <c r="D1857" s="6" t="s">
        <v>4436</v>
      </c>
      <c r="E1857" s="6" t="s">
        <v>617</v>
      </c>
      <c r="F1857" s="6" t="s">
        <v>16</v>
      </c>
      <c r="G1857" s="6" t="s">
        <v>17</v>
      </c>
      <c r="H1857" s="6" t="s">
        <v>18</v>
      </c>
      <c r="I1857" s="6"/>
      <c r="J1857" s="6" t="s">
        <v>19</v>
      </c>
      <c r="K1857" s="6" t="s">
        <v>20</v>
      </c>
    </row>
    <row r="1858" customFormat="false" ht="12.8" hidden="false" customHeight="false" outlineLevel="0" collapsed="false">
      <c r="A1858" s="6" t="str">
        <f aca="false">HYPERLINK("https://www.fabsurplus.com/sdi_catalog/salesItemDetails.do?id=100738")</f>
        <v>https://www.fabsurplus.com/sdi_catalog/salesItemDetails.do?id=100738</v>
      </c>
      <c r="B1858" s="6" t="s">
        <v>4437</v>
      </c>
      <c r="C1858" s="6" t="s">
        <v>4420</v>
      </c>
      <c r="D1858" s="6" t="s">
        <v>4438</v>
      </c>
      <c r="E1858" s="6" t="s">
        <v>4439</v>
      </c>
      <c r="F1858" s="6" t="s">
        <v>913</v>
      </c>
      <c r="G1858" s="6"/>
      <c r="H1858" s="6"/>
      <c r="I1858" s="6"/>
      <c r="J1858" s="6" t="s">
        <v>19</v>
      </c>
      <c r="K1858" s="6"/>
    </row>
    <row r="1859" customFormat="false" ht="12.8" hidden="false" customHeight="false" outlineLevel="0" collapsed="false">
      <c r="A1859" s="8" t="str">
        <f aca="false">HYPERLINK("https://www.fabsurplus.com/sdi_catalog/salesItemDetails.do?id=99995")</f>
        <v>https://www.fabsurplus.com/sdi_catalog/salesItemDetails.do?id=99995</v>
      </c>
      <c r="B1859" s="8" t="s">
        <v>4440</v>
      </c>
      <c r="C1859" s="8" t="s">
        <v>4420</v>
      </c>
      <c r="D1859" s="8" t="s">
        <v>4441</v>
      </c>
      <c r="E1859" s="8" t="s">
        <v>4439</v>
      </c>
      <c r="F1859" s="8" t="s">
        <v>16</v>
      </c>
      <c r="G1859" s="8" t="s">
        <v>2132</v>
      </c>
      <c r="H1859" s="8"/>
      <c r="I1859" s="9" t="n">
        <v>33025</v>
      </c>
      <c r="J1859" s="8" t="s">
        <v>19</v>
      </c>
      <c r="K1859" s="8"/>
    </row>
    <row r="1860" customFormat="false" ht="12.8" hidden="false" customHeight="false" outlineLevel="0" collapsed="false">
      <c r="A1860" s="8" t="str">
        <f aca="false">HYPERLINK("https://www.fabsurplus.com/sdi_catalog/salesItemDetails.do?id=100861")</f>
        <v>https://www.fabsurplus.com/sdi_catalog/salesItemDetails.do?id=100861</v>
      </c>
      <c r="B1860" s="8" t="s">
        <v>4442</v>
      </c>
      <c r="C1860" s="8" t="s">
        <v>4420</v>
      </c>
      <c r="D1860" s="8" t="s">
        <v>4443</v>
      </c>
      <c r="E1860" s="8" t="s">
        <v>4045</v>
      </c>
      <c r="F1860" s="8" t="s">
        <v>211</v>
      </c>
      <c r="G1860" s="8"/>
      <c r="H1860" s="8"/>
      <c r="I1860" s="9" t="n">
        <v>42887</v>
      </c>
      <c r="J1860" s="8" t="s">
        <v>19</v>
      </c>
      <c r="K1860" s="8"/>
    </row>
    <row r="1861" customFormat="false" ht="12.8" hidden="false" customHeight="false" outlineLevel="0" collapsed="false">
      <c r="A1861" s="6" t="str">
        <f aca="false">HYPERLINK("https://www.fabsurplus.com/sdi_catalog/salesItemDetails.do?id=97954")</f>
        <v>https://www.fabsurplus.com/sdi_catalog/salesItemDetails.do?id=97954</v>
      </c>
      <c r="B1861" s="6" t="s">
        <v>4444</v>
      </c>
      <c r="C1861" s="6" t="s">
        <v>4445</v>
      </c>
      <c r="D1861" s="6" t="s">
        <v>4446</v>
      </c>
      <c r="E1861" s="6" t="s">
        <v>4042</v>
      </c>
      <c r="F1861" s="6" t="s">
        <v>611</v>
      </c>
      <c r="G1861" s="6" t="s">
        <v>1851</v>
      </c>
      <c r="H1861" s="6"/>
      <c r="I1861" s="6"/>
      <c r="J1861" s="6" t="s">
        <v>81</v>
      </c>
      <c r="K1861" s="6"/>
    </row>
    <row r="1862" customFormat="false" ht="12.8" hidden="false" customHeight="false" outlineLevel="0" collapsed="false">
      <c r="A1862" s="8" t="str">
        <f aca="false">HYPERLINK("https://www.fabsurplus.com/sdi_catalog/salesItemDetails.do?id=100739")</f>
        <v>https://www.fabsurplus.com/sdi_catalog/salesItemDetails.do?id=100739</v>
      </c>
      <c r="B1862" s="8" t="s">
        <v>4447</v>
      </c>
      <c r="C1862" s="8" t="s">
        <v>4420</v>
      </c>
      <c r="D1862" s="8" t="s">
        <v>4448</v>
      </c>
      <c r="E1862" s="8" t="s">
        <v>4045</v>
      </c>
      <c r="F1862" s="8" t="s">
        <v>16</v>
      </c>
      <c r="G1862" s="8"/>
      <c r="H1862" s="8"/>
      <c r="I1862" s="9" t="n">
        <v>40695</v>
      </c>
      <c r="J1862" s="8" t="s">
        <v>19</v>
      </c>
      <c r="K1862" s="8"/>
    </row>
    <row r="1863" customFormat="false" ht="12.8" hidden="false" customHeight="false" outlineLevel="0" collapsed="false">
      <c r="A1863" s="6" t="str">
        <f aca="false">HYPERLINK("https://www.fabsurplus.com/sdi_catalog/salesItemDetails.do?id=98417")</f>
        <v>https://www.fabsurplus.com/sdi_catalog/salesItemDetails.do?id=98417</v>
      </c>
      <c r="B1863" s="6" t="s">
        <v>4449</v>
      </c>
      <c r="C1863" s="6" t="s">
        <v>4420</v>
      </c>
      <c r="D1863" s="6" t="s">
        <v>4450</v>
      </c>
      <c r="E1863" s="6" t="s">
        <v>4451</v>
      </c>
      <c r="F1863" s="6" t="s">
        <v>16</v>
      </c>
      <c r="G1863" s="6" t="s">
        <v>372</v>
      </c>
      <c r="H1863" s="6"/>
      <c r="I1863" s="6"/>
      <c r="J1863" s="6" t="s">
        <v>19</v>
      </c>
      <c r="K1863" s="6"/>
    </row>
    <row r="1864" customFormat="false" ht="12.8" hidden="false" customHeight="false" outlineLevel="0" collapsed="false">
      <c r="A1864" s="6" t="str">
        <f aca="false">HYPERLINK("https://www.fabsurplus.com/sdi_catalog/salesItemDetails.do?id=98416")</f>
        <v>https://www.fabsurplus.com/sdi_catalog/salesItemDetails.do?id=98416</v>
      </c>
      <c r="B1864" s="6" t="s">
        <v>4452</v>
      </c>
      <c r="C1864" s="6" t="s">
        <v>4420</v>
      </c>
      <c r="D1864" s="6" t="s">
        <v>4450</v>
      </c>
      <c r="E1864" s="6" t="s">
        <v>4451</v>
      </c>
      <c r="F1864" s="6" t="s">
        <v>16</v>
      </c>
      <c r="G1864" s="6" t="s">
        <v>372</v>
      </c>
      <c r="H1864" s="6"/>
      <c r="I1864" s="6"/>
      <c r="J1864" s="6" t="s">
        <v>19</v>
      </c>
      <c r="K1864" s="6"/>
    </row>
    <row r="1865" customFormat="false" ht="12.8" hidden="false" customHeight="false" outlineLevel="0" collapsed="false">
      <c r="A1865" s="8" t="str">
        <f aca="false">HYPERLINK("https://www.fabsurplus.com/sdi_catalog/salesItemDetails.do?id=98415")</f>
        <v>https://www.fabsurplus.com/sdi_catalog/salesItemDetails.do?id=98415</v>
      </c>
      <c r="B1865" s="8" t="s">
        <v>4453</v>
      </c>
      <c r="C1865" s="8" t="s">
        <v>4420</v>
      </c>
      <c r="D1865" s="8" t="s">
        <v>4450</v>
      </c>
      <c r="E1865" s="8" t="s">
        <v>4451</v>
      </c>
      <c r="F1865" s="8" t="s">
        <v>16</v>
      </c>
      <c r="G1865" s="8" t="s">
        <v>372</v>
      </c>
      <c r="H1865" s="8"/>
      <c r="I1865" s="8"/>
      <c r="J1865" s="8" t="s">
        <v>19</v>
      </c>
      <c r="K1865" s="8"/>
    </row>
    <row r="1866" customFormat="false" ht="12.8" hidden="false" customHeight="false" outlineLevel="0" collapsed="false">
      <c r="A1866" s="8" t="str">
        <f aca="false">HYPERLINK("https://www.fabsurplus.com/sdi_catalog/salesItemDetails.do?id=98414")</f>
        <v>https://www.fabsurplus.com/sdi_catalog/salesItemDetails.do?id=98414</v>
      </c>
      <c r="B1866" s="8" t="s">
        <v>4454</v>
      </c>
      <c r="C1866" s="8" t="s">
        <v>4420</v>
      </c>
      <c r="D1866" s="8" t="s">
        <v>4450</v>
      </c>
      <c r="E1866" s="8" t="s">
        <v>4451</v>
      </c>
      <c r="F1866" s="8" t="s">
        <v>16</v>
      </c>
      <c r="G1866" s="8" t="s">
        <v>372</v>
      </c>
      <c r="H1866" s="8"/>
      <c r="I1866" s="8"/>
      <c r="J1866" s="8" t="s">
        <v>19</v>
      </c>
      <c r="K1866" s="8"/>
    </row>
    <row r="1867" customFormat="false" ht="12.8" hidden="false" customHeight="false" outlineLevel="0" collapsed="false">
      <c r="A1867" s="8" t="str">
        <f aca="false">HYPERLINK("https://www.fabsurplus.com/sdi_catalog/salesItemDetails.do?id=99064")</f>
        <v>https://www.fabsurplus.com/sdi_catalog/salesItemDetails.do?id=99064</v>
      </c>
      <c r="B1867" s="8" t="s">
        <v>4455</v>
      </c>
      <c r="C1867" s="8" t="s">
        <v>4445</v>
      </c>
      <c r="D1867" s="8" t="s">
        <v>4456</v>
      </c>
      <c r="E1867" s="8" t="s">
        <v>4457</v>
      </c>
      <c r="F1867" s="8" t="s">
        <v>16</v>
      </c>
      <c r="G1867" s="8" t="s">
        <v>4458</v>
      </c>
      <c r="H1867" s="8" t="s">
        <v>18</v>
      </c>
      <c r="I1867" s="9" t="n">
        <v>34304</v>
      </c>
      <c r="J1867" s="8" t="s">
        <v>19</v>
      </c>
      <c r="K1867" s="8" t="s">
        <v>20</v>
      </c>
    </row>
    <row r="1868" customFormat="false" ht="12.8" hidden="false" customHeight="false" outlineLevel="0" collapsed="false">
      <c r="A1868" s="8" t="str">
        <f aca="false">HYPERLINK("https://www.fabsurplus.com/sdi_catalog/salesItemDetails.do?id=98157")</f>
        <v>https://www.fabsurplus.com/sdi_catalog/salesItemDetails.do?id=98157</v>
      </c>
      <c r="B1868" s="8" t="s">
        <v>4459</v>
      </c>
      <c r="C1868" s="8" t="s">
        <v>4420</v>
      </c>
      <c r="D1868" s="8" t="s">
        <v>4460</v>
      </c>
      <c r="E1868" s="8" t="s">
        <v>2250</v>
      </c>
      <c r="F1868" s="8" t="s">
        <v>16</v>
      </c>
      <c r="G1868" s="8" t="s">
        <v>372</v>
      </c>
      <c r="H1868" s="8"/>
      <c r="I1868" s="9" t="n">
        <v>34121</v>
      </c>
      <c r="J1868" s="8" t="s">
        <v>19</v>
      </c>
      <c r="K1868" s="8"/>
    </row>
    <row r="1869" customFormat="false" ht="12.8" hidden="false" customHeight="false" outlineLevel="0" collapsed="false">
      <c r="A1869" s="6" t="str">
        <f aca="false">HYPERLINK("https://www.fabsurplus.com/sdi_catalog/salesItemDetails.do?id=98156")</f>
        <v>https://www.fabsurplus.com/sdi_catalog/salesItemDetails.do?id=98156</v>
      </c>
      <c r="B1869" s="6" t="s">
        <v>4461</v>
      </c>
      <c r="C1869" s="6" t="s">
        <v>4420</v>
      </c>
      <c r="D1869" s="6" t="s">
        <v>4462</v>
      </c>
      <c r="E1869" s="6" t="s">
        <v>2250</v>
      </c>
      <c r="F1869" s="6" t="s">
        <v>16</v>
      </c>
      <c r="G1869" s="6" t="s">
        <v>612</v>
      </c>
      <c r="H1869" s="6"/>
      <c r="I1869" s="7" t="n">
        <v>34486</v>
      </c>
      <c r="J1869" s="6" t="s">
        <v>19</v>
      </c>
      <c r="K1869" s="6"/>
    </row>
    <row r="1870" customFormat="false" ht="12.8" hidden="false" customHeight="false" outlineLevel="0" collapsed="false">
      <c r="A1870" s="8" t="str">
        <f aca="false">HYPERLINK("https://www.fabsurplus.com/sdi_catalog/salesItemDetails.do?id=98894")</f>
        <v>https://www.fabsurplus.com/sdi_catalog/salesItemDetails.do?id=98894</v>
      </c>
      <c r="B1870" s="8" t="s">
        <v>4463</v>
      </c>
      <c r="C1870" s="8" t="s">
        <v>4420</v>
      </c>
      <c r="D1870" s="8" t="s">
        <v>4464</v>
      </c>
      <c r="E1870" s="8" t="s">
        <v>4465</v>
      </c>
      <c r="F1870" s="8" t="s">
        <v>16</v>
      </c>
      <c r="G1870" s="8" t="s">
        <v>2132</v>
      </c>
      <c r="H1870" s="8"/>
      <c r="I1870" s="9" t="n">
        <v>34486</v>
      </c>
      <c r="J1870" s="8" t="s">
        <v>19</v>
      </c>
      <c r="K1870" s="8"/>
    </row>
    <row r="1871" customFormat="false" ht="12.8" hidden="false" customHeight="false" outlineLevel="0" collapsed="false">
      <c r="A1871" s="6" t="str">
        <f aca="false">HYPERLINK("https://www.fabsurplus.com/sdi_catalog/salesItemDetails.do?id=98158")</f>
        <v>https://www.fabsurplus.com/sdi_catalog/salesItemDetails.do?id=98158</v>
      </c>
      <c r="B1871" s="6" t="s">
        <v>4466</v>
      </c>
      <c r="C1871" s="6" t="s">
        <v>4420</v>
      </c>
      <c r="D1871" s="6" t="s">
        <v>4467</v>
      </c>
      <c r="E1871" s="6" t="s">
        <v>4468</v>
      </c>
      <c r="F1871" s="6" t="s">
        <v>16</v>
      </c>
      <c r="G1871" s="6" t="s">
        <v>32</v>
      </c>
      <c r="H1871" s="6"/>
      <c r="I1871" s="7" t="n">
        <v>36312</v>
      </c>
      <c r="J1871" s="6" t="s">
        <v>19</v>
      </c>
      <c r="K1871" s="6"/>
    </row>
    <row r="1872" customFormat="false" ht="12.8" hidden="false" customHeight="false" outlineLevel="0" collapsed="false">
      <c r="A1872" s="6" t="str">
        <f aca="false">HYPERLINK("https://www.fabsurplus.com/sdi_catalog/salesItemDetails.do?id=97027")</f>
        <v>https://www.fabsurplus.com/sdi_catalog/salesItemDetails.do?id=97027</v>
      </c>
      <c r="B1872" s="6" t="s">
        <v>4469</v>
      </c>
      <c r="C1872" s="6" t="s">
        <v>4420</v>
      </c>
      <c r="D1872" s="6" t="s">
        <v>4470</v>
      </c>
      <c r="E1872" s="6" t="s">
        <v>4471</v>
      </c>
      <c r="F1872" s="6" t="s">
        <v>16</v>
      </c>
      <c r="G1872" s="6" t="s">
        <v>32</v>
      </c>
      <c r="H1872" s="6" t="s">
        <v>18</v>
      </c>
      <c r="I1872" s="7" t="n">
        <v>34486</v>
      </c>
      <c r="J1872" s="6" t="s">
        <v>19</v>
      </c>
      <c r="K1872" s="6" t="s">
        <v>20</v>
      </c>
    </row>
    <row r="1873" customFormat="false" ht="12.8" hidden="false" customHeight="false" outlineLevel="0" collapsed="false">
      <c r="A1873" s="6" t="str">
        <f aca="false">HYPERLINK("https://www.fabsurplus.com/sdi_catalog/salesItemDetails.do?id=98159")</f>
        <v>https://www.fabsurplus.com/sdi_catalog/salesItemDetails.do?id=98159</v>
      </c>
      <c r="B1873" s="6" t="s">
        <v>4472</v>
      </c>
      <c r="C1873" s="6" t="s">
        <v>4420</v>
      </c>
      <c r="D1873" s="6" t="s">
        <v>4473</v>
      </c>
      <c r="E1873" s="6" t="s">
        <v>2250</v>
      </c>
      <c r="F1873" s="6" t="s">
        <v>16</v>
      </c>
      <c r="G1873" s="6" t="s">
        <v>32</v>
      </c>
      <c r="H1873" s="6"/>
      <c r="I1873" s="7" t="n">
        <v>35582</v>
      </c>
      <c r="J1873" s="6" t="s">
        <v>19</v>
      </c>
      <c r="K1873" s="6"/>
    </row>
    <row r="1874" customFormat="false" ht="12.8" hidden="false" customHeight="false" outlineLevel="0" collapsed="false">
      <c r="A1874" s="8" t="str">
        <f aca="false">HYPERLINK("https://www.fabsurplus.com/sdi_catalog/salesItemDetails.do?id=98160")</f>
        <v>https://www.fabsurplus.com/sdi_catalog/salesItemDetails.do?id=98160</v>
      </c>
      <c r="B1874" s="8" t="s">
        <v>4474</v>
      </c>
      <c r="C1874" s="8" t="s">
        <v>4420</v>
      </c>
      <c r="D1874" s="8" t="s">
        <v>4475</v>
      </c>
      <c r="E1874" s="8" t="s">
        <v>4476</v>
      </c>
      <c r="F1874" s="8" t="s">
        <v>16</v>
      </c>
      <c r="G1874" s="8" t="s">
        <v>32</v>
      </c>
      <c r="H1874" s="8"/>
      <c r="I1874" s="8"/>
      <c r="J1874" s="8" t="s">
        <v>19</v>
      </c>
      <c r="K1874" s="8"/>
    </row>
    <row r="1875" customFormat="false" ht="12.8" hidden="false" customHeight="false" outlineLevel="0" collapsed="false">
      <c r="A1875" s="6" t="str">
        <f aca="false">HYPERLINK("https://www.fabsurplus.com/sdi_catalog/salesItemDetails.do?id=99290")</f>
        <v>https://www.fabsurplus.com/sdi_catalog/salesItemDetails.do?id=99290</v>
      </c>
      <c r="B1875" s="6" t="s">
        <v>4477</v>
      </c>
      <c r="C1875" s="6" t="s">
        <v>4445</v>
      </c>
      <c r="D1875" s="6" t="s">
        <v>4475</v>
      </c>
      <c r="E1875" s="6" t="s">
        <v>4478</v>
      </c>
      <c r="F1875" s="6" t="s">
        <v>16</v>
      </c>
      <c r="G1875" s="6" t="s">
        <v>17</v>
      </c>
      <c r="H1875" s="6" t="s">
        <v>311</v>
      </c>
      <c r="I1875" s="7" t="n">
        <v>37257</v>
      </c>
      <c r="J1875" s="6" t="s">
        <v>81</v>
      </c>
      <c r="K1875" s="6" t="s">
        <v>20</v>
      </c>
    </row>
    <row r="1876" customFormat="false" ht="12.8" hidden="false" customHeight="false" outlineLevel="0" collapsed="false">
      <c r="A1876" s="8" t="str">
        <f aca="false">HYPERLINK("https://www.fabsurplus.com/sdi_catalog/salesItemDetails.do?id=99289")</f>
        <v>https://www.fabsurplus.com/sdi_catalog/salesItemDetails.do?id=99289</v>
      </c>
      <c r="B1876" s="8" t="s">
        <v>4479</v>
      </c>
      <c r="C1876" s="8" t="s">
        <v>4445</v>
      </c>
      <c r="D1876" s="8" t="s">
        <v>4475</v>
      </c>
      <c r="E1876" s="8" t="s">
        <v>4478</v>
      </c>
      <c r="F1876" s="8" t="s">
        <v>16</v>
      </c>
      <c r="G1876" s="8" t="s">
        <v>372</v>
      </c>
      <c r="H1876" s="8" t="s">
        <v>311</v>
      </c>
      <c r="I1876" s="9" t="n">
        <v>37257</v>
      </c>
      <c r="J1876" s="8" t="s">
        <v>312</v>
      </c>
      <c r="K1876" s="8" t="s">
        <v>20</v>
      </c>
    </row>
    <row r="1877" customFormat="false" ht="12.8" hidden="false" customHeight="false" outlineLevel="0" collapsed="false">
      <c r="A1877" s="8" t="str">
        <f aca="false">HYPERLINK("https://www.fabsurplus.com/sdi_catalog/salesItemDetails.do?id=98161")</f>
        <v>https://www.fabsurplus.com/sdi_catalog/salesItemDetails.do?id=98161</v>
      </c>
      <c r="B1877" s="8" t="s">
        <v>4480</v>
      </c>
      <c r="C1877" s="8" t="s">
        <v>4420</v>
      </c>
      <c r="D1877" s="8" t="s">
        <v>4481</v>
      </c>
      <c r="E1877" s="8" t="s">
        <v>4476</v>
      </c>
      <c r="F1877" s="8" t="s">
        <v>16</v>
      </c>
      <c r="G1877" s="8" t="s">
        <v>32</v>
      </c>
      <c r="H1877" s="8" t="s">
        <v>18</v>
      </c>
      <c r="I1877" s="8"/>
      <c r="J1877" s="8" t="s">
        <v>81</v>
      </c>
      <c r="K1877" s="8" t="s">
        <v>20</v>
      </c>
    </row>
    <row r="1878" customFormat="false" ht="12.8" hidden="false" customHeight="false" outlineLevel="0" collapsed="false">
      <c r="A1878" s="6" t="str">
        <f aca="false">HYPERLINK("https://www.fabsurplus.com/sdi_catalog/salesItemDetails.do?id=99865")</f>
        <v>https://www.fabsurplus.com/sdi_catalog/salesItemDetails.do?id=99865</v>
      </c>
      <c r="B1878" s="6" t="s">
        <v>4482</v>
      </c>
      <c r="C1878" s="6" t="s">
        <v>4420</v>
      </c>
      <c r="D1878" s="6" t="s">
        <v>4483</v>
      </c>
      <c r="E1878" s="6" t="s">
        <v>4484</v>
      </c>
      <c r="F1878" s="6" t="s">
        <v>16</v>
      </c>
      <c r="G1878" s="6" t="s">
        <v>372</v>
      </c>
      <c r="H1878" s="6" t="s">
        <v>18</v>
      </c>
      <c r="I1878" s="7" t="n">
        <v>33543</v>
      </c>
      <c r="J1878" s="6" t="s">
        <v>19</v>
      </c>
      <c r="K1878" s="6" t="s">
        <v>20</v>
      </c>
    </row>
    <row r="1879" customFormat="false" ht="12.8" hidden="false" customHeight="false" outlineLevel="0" collapsed="false">
      <c r="A1879" s="6" t="str">
        <f aca="false">HYPERLINK("https://www.fabsurplus.com/sdi_catalog/salesItemDetails.do?id=99423")</f>
        <v>https://www.fabsurplus.com/sdi_catalog/salesItemDetails.do?id=99423</v>
      </c>
      <c r="B1879" s="6" t="s">
        <v>4485</v>
      </c>
      <c r="C1879" s="6" t="s">
        <v>4420</v>
      </c>
      <c r="D1879" s="6" t="s">
        <v>4486</v>
      </c>
      <c r="E1879" s="6" t="s">
        <v>4045</v>
      </c>
      <c r="F1879" s="6" t="s">
        <v>16</v>
      </c>
      <c r="G1879" s="6" t="s">
        <v>372</v>
      </c>
      <c r="H1879" s="6" t="s">
        <v>33</v>
      </c>
      <c r="I1879" s="6"/>
      <c r="J1879" s="6" t="s">
        <v>19</v>
      </c>
      <c r="K1879" s="6" t="s">
        <v>20</v>
      </c>
    </row>
    <row r="1880" customFormat="false" ht="12.8" hidden="false" customHeight="false" outlineLevel="0" collapsed="false">
      <c r="A1880" s="8" t="str">
        <f aca="false">HYPERLINK("https://www.fabsurplus.com/sdi_catalog/salesItemDetails.do?id=98485")</f>
        <v>https://www.fabsurplus.com/sdi_catalog/salesItemDetails.do?id=98485</v>
      </c>
      <c r="B1880" s="8" t="s">
        <v>4487</v>
      </c>
      <c r="C1880" s="8" t="s">
        <v>4420</v>
      </c>
      <c r="D1880" s="8" t="s">
        <v>4488</v>
      </c>
      <c r="E1880" s="8" t="s">
        <v>4045</v>
      </c>
      <c r="F1880" s="8" t="s">
        <v>611</v>
      </c>
      <c r="G1880" s="8" t="s">
        <v>4432</v>
      </c>
      <c r="H1880" s="8"/>
      <c r="I1880" s="8"/>
      <c r="J1880" s="8" t="s">
        <v>19</v>
      </c>
      <c r="K1880" s="8"/>
    </row>
    <row r="1881" customFormat="false" ht="12.8" hidden="false" customHeight="false" outlineLevel="0" collapsed="false">
      <c r="A1881" s="8" t="str">
        <f aca="false">HYPERLINK("https://www.fabsurplus.com/sdi_catalog/salesItemDetails.do?id=99424")</f>
        <v>https://www.fabsurplus.com/sdi_catalog/salesItemDetails.do?id=99424</v>
      </c>
      <c r="B1881" s="8" t="s">
        <v>4489</v>
      </c>
      <c r="C1881" s="8" t="s">
        <v>4420</v>
      </c>
      <c r="D1881" s="8" t="s">
        <v>4490</v>
      </c>
      <c r="E1881" s="8" t="s">
        <v>4491</v>
      </c>
      <c r="F1881" s="8" t="s">
        <v>16</v>
      </c>
      <c r="G1881" s="8" t="s">
        <v>372</v>
      </c>
      <c r="H1881" s="8" t="s">
        <v>33</v>
      </c>
      <c r="I1881" s="8"/>
      <c r="J1881" s="8" t="s">
        <v>19</v>
      </c>
      <c r="K1881" s="8" t="s">
        <v>20</v>
      </c>
    </row>
    <row r="1882" customFormat="false" ht="12.8" hidden="false" customHeight="false" outlineLevel="0" collapsed="false">
      <c r="A1882" s="8" t="str">
        <f aca="false">HYPERLINK("https://www.fabsurplus.com/sdi_catalog/salesItemDetails.do?id=99996")</f>
        <v>https://www.fabsurplus.com/sdi_catalog/salesItemDetails.do?id=99996</v>
      </c>
      <c r="B1882" s="8" t="s">
        <v>4492</v>
      </c>
      <c r="C1882" s="8" t="s">
        <v>4420</v>
      </c>
      <c r="D1882" s="8" t="s">
        <v>4493</v>
      </c>
      <c r="E1882" s="8" t="s">
        <v>4045</v>
      </c>
      <c r="F1882" s="8" t="s">
        <v>16</v>
      </c>
      <c r="G1882" s="8" t="s">
        <v>697</v>
      </c>
      <c r="H1882" s="8"/>
      <c r="I1882" s="9" t="n">
        <v>35947</v>
      </c>
      <c r="J1882" s="8" t="s">
        <v>19</v>
      </c>
      <c r="K1882" s="8"/>
    </row>
    <row r="1883" customFormat="false" ht="12.8" hidden="false" customHeight="false" outlineLevel="0" collapsed="false">
      <c r="A1883" s="8" t="str">
        <f aca="false">HYPERLINK("https://www.fabsurplus.com/sdi_catalog/salesItemDetails.do?id=98923")</f>
        <v>https://www.fabsurplus.com/sdi_catalog/salesItemDetails.do?id=98923</v>
      </c>
      <c r="B1883" s="8" t="s">
        <v>4494</v>
      </c>
      <c r="C1883" s="8" t="s">
        <v>4420</v>
      </c>
      <c r="D1883" s="8" t="s">
        <v>4495</v>
      </c>
      <c r="E1883" s="8" t="s">
        <v>617</v>
      </c>
      <c r="F1883" s="8" t="s">
        <v>16</v>
      </c>
      <c r="G1883" s="8"/>
      <c r="H1883" s="8"/>
      <c r="I1883" s="8"/>
      <c r="J1883" s="8" t="s">
        <v>19</v>
      </c>
      <c r="K1883" s="8"/>
    </row>
    <row r="1884" customFormat="false" ht="12.8" hidden="false" customHeight="false" outlineLevel="0" collapsed="false">
      <c r="A1884" s="6" t="str">
        <f aca="false">HYPERLINK("https://www.fabsurplus.com/sdi_catalog/salesItemDetails.do?id=99425")</f>
        <v>https://www.fabsurplus.com/sdi_catalog/salesItemDetails.do?id=99425</v>
      </c>
      <c r="B1884" s="6" t="s">
        <v>4496</v>
      </c>
      <c r="C1884" s="6" t="s">
        <v>4420</v>
      </c>
      <c r="D1884" s="6" t="s">
        <v>4497</v>
      </c>
      <c r="E1884" s="6" t="s">
        <v>4498</v>
      </c>
      <c r="F1884" s="6" t="s">
        <v>16</v>
      </c>
      <c r="G1884" s="6" t="s">
        <v>372</v>
      </c>
      <c r="H1884" s="6" t="s">
        <v>33</v>
      </c>
      <c r="I1884" s="6"/>
      <c r="J1884" s="6" t="s">
        <v>19</v>
      </c>
      <c r="K1884" s="6" t="s">
        <v>20</v>
      </c>
    </row>
    <row r="1885" customFormat="false" ht="12.8" hidden="false" customHeight="false" outlineLevel="0" collapsed="false">
      <c r="A1885" s="6" t="str">
        <f aca="false">HYPERLINK("https://www.fabsurplus.com/sdi_catalog/salesItemDetails.do?id=99426")</f>
        <v>https://www.fabsurplus.com/sdi_catalog/salesItemDetails.do?id=99426</v>
      </c>
      <c r="B1885" s="6" t="s">
        <v>4499</v>
      </c>
      <c r="C1885" s="6" t="s">
        <v>4420</v>
      </c>
      <c r="D1885" s="6" t="s">
        <v>4497</v>
      </c>
      <c r="E1885" s="6" t="s">
        <v>4500</v>
      </c>
      <c r="F1885" s="6" t="s">
        <v>16</v>
      </c>
      <c r="G1885" s="6" t="s">
        <v>3381</v>
      </c>
      <c r="H1885" s="6" t="s">
        <v>33</v>
      </c>
      <c r="I1885" s="6"/>
      <c r="J1885" s="6" t="s">
        <v>19</v>
      </c>
      <c r="K1885" s="6" t="s">
        <v>20</v>
      </c>
    </row>
    <row r="1886" customFormat="false" ht="12.8" hidden="false" customHeight="false" outlineLevel="0" collapsed="false">
      <c r="A1886" s="6" t="str">
        <f aca="false">HYPERLINK("https://www.fabsurplus.com/sdi_catalog/salesItemDetails.do?id=99427")</f>
        <v>https://www.fabsurplus.com/sdi_catalog/salesItemDetails.do?id=99427</v>
      </c>
      <c r="B1886" s="6" t="s">
        <v>4501</v>
      </c>
      <c r="C1886" s="6" t="s">
        <v>4420</v>
      </c>
      <c r="D1886" s="6" t="s">
        <v>4497</v>
      </c>
      <c r="E1886" s="6" t="s">
        <v>3258</v>
      </c>
      <c r="F1886" s="6" t="s">
        <v>16</v>
      </c>
      <c r="G1886" s="6" t="s">
        <v>3381</v>
      </c>
      <c r="H1886" s="6" t="s">
        <v>33</v>
      </c>
      <c r="I1886" s="7" t="n">
        <v>34486</v>
      </c>
      <c r="J1886" s="6" t="s">
        <v>19</v>
      </c>
      <c r="K1886" s="6" t="s">
        <v>20</v>
      </c>
    </row>
    <row r="1887" customFormat="false" ht="12.8" hidden="false" customHeight="false" outlineLevel="0" collapsed="false">
      <c r="A1887" s="8" t="str">
        <f aca="false">HYPERLINK("https://www.fabsurplus.com/sdi_catalog/salesItemDetails.do?id=99428")</f>
        <v>https://www.fabsurplus.com/sdi_catalog/salesItemDetails.do?id=99428</v>
      </c>
      <c r="B1887" s="8" t="s">
        <v>4502</v>
      </c>
      <c r="C1887" s="8" t="s">
        <v>4420</v>
      </c>
      <c r="D1887" s="8" t="s">
        <v>4503</v>
      </c>
      <c r="E1887" s="8" t="s">
        <v>4504</v>
      </c>
      <c r="F1887" s="8" t="s">
        <v>16</v>
      </c>
      <c r="G1887" s="8" t="s">
        <v>32</v>
      </c>
      <c r="H1887" s="8" t="s">
        <v>33</v>
      </c>
      <c r="I1887" s="9" t="n">
        <v>35582</v>
      </c>
      <c r="J1887" s="8" t="s">
        <v>19</v>
      </c>
      <c r="K1887" s="8" t="s">
        <v>20</v>
      </c>
    </row>
    <row r="1888" customFormat="false" ht="12.8" hidden="false" customHeight="false" outlineLevel="0" collapsed="false">
      <c r="A1888" s="6" t="str">
        <f aca="false">HYPERLINK("https://www.fabsurplus.com/sdi_catalog/salesItemDetails.do?id=97713")</f>
        <v>https://www.fabsurplus.com/sdi_catalog/salesItemDetails.do?id=97713</v>
      </c>
      <c r="B1888" s="6" t="s">
        <v>4505</v>
      </c>
      <c r="C1888" s="6" t="s">
        <v>4420</v>
      </c>
      <c r="D1888" s="6" t="s">
        <v>4506</v>
      </c>
      <c r="E1888" s="6" t="s">
        <v>4507</v>
      </c>
      <c r="F1888" s="6" t="s">
        <v>16</v>
      </c>
      <c r="G1888" s="6" t="s">
        <v>310</v>
      </c>
      <c r="H1888" s="6"/>
      <c r="I1888" s="6"/>
      <c r="J1888" s="6" t="s">
        <v>19</v>
      </c>
      <c r="K1888" s="6"/>
    </row>
    <row r="1889" customFormat="false" ht="12.8" hidden="false" customHeight="false" outlineLevel="0" collapsed="false">
      <c r="A1889" s="8" t="str">
        <f aca="false">HYPERLINK("https://www.fabsurplus.com/sdi_catalog/salesItemDetails.do?id=97712")</f>
        <v>https://www.fabsurplus.com/sdi_catalog/salesItemDetails.do?id=97712</v>
      </c>
      <c r="B1889" s="8" t="s">
        <v>4508</v>
      </c>
      <c r="C1889" s="8" t="s">
        <v>4420</v>
      </c>
      <c r="D1889" s="8" t="s">
        <v>4506</v>
      </c>
      <c r="E1889" s="8" t="s">
        <v>4507</v>
      </c>
      <c r="F1889" s="8" t="s">
        <v>16</v>
      </c>
      <c r="G1889" s="8" t="s">
        <v>310</v>
      </c>
      <c r="H1889" s="8"/>
      <c r="I1889" s="8"/>
      <c r="J1889" s="8" t="s">
        <v>19</v>
      </c>
      <c r="K1889" s="8"/>
    </row>
    <row r="1890" customFormat="false" ht="12.8" hidden="false" customHeight="false" outlineLevel="0" collapsed="false">
      <c r="A1890" s="6" t="str">
        <f aca="false">HYPERLINK("https://www.fabsurplus.com/sdi_catalog/salesItemDetails.do?id=99997")</f>
        <v>https://www.fabsurplus.com/sdi_catalog/salesItemDetails.do?id=99997</v>
      </c>
      <c r="B1890" s="6" t="s">
        <v>4509</v>
      </c>
      <c r="C1890" s="6" t="s">
        <v>4420</v>
      </c>
      <c r="D1890" s="6" t="s">
        <v>4510</v>
      </c>
      <c r="E1890" s="6" t="s">
        <v>4439</v>
      </c>
      <c r="F1890" s="6" t="s">
        <v>16</v>
      </c>
      <c r="G1890" s="6" t="s">
        <v>697</v>
      </c>
      <c r="H1890" s="6"/>
      <c r="I1890" s="7" t="n">
        <v>37408</v>
      </c>
      <c r="J1890" s="6" t="s">
        <v>19</v>
      </c>
      <c r="K1890" s="6"/>
    </row>
    <row r="1891" customFormat="false" ht="12.8" hidden="false" customHeight="false" outlineLevel="0" collapsed="false">
      <c r="A1891" s="8" t="str">
        <f aca="false">HYPERLINK("https://www.fabsurplus.com/sdi_catalog/salesItemDetails.do?id=100025")</f>
        <v>https://www.fabsurplus.com/sdi_catalog/salesItemDetails.do?id=100025</v>
      </c>
      <c r="B1891" s="8" t="s">
        <v>4511</v>
      </c>
      <c r="C1891" s="8" t="s">
        <v>4420</v>
      </c>
      <c r="D1891" s="8" t="s">
        <v>4512</v>
      </c>
      <c r="E1891" s="8" t="s">
        <v>2250</v>
      </c>
      <c r="F1891" s="8" t="s">
        <v>16</v>
      </c>
      <c r="G1891" s="8" t="s">
        <v>310</v>
      </c>
      <c r="H1891" s="8" t="s">
        <v>18</v>
      </c>
      <c r="I1891" s="9" t="n">
        <v>38412</v>
      </c>
      <c r="J1891" s="8" t="s">
        <v>19</v>
      </c>
      <c r="K1891" s="8" t="s">
        <v>1950</v>
      </c>
    </row>
    <row r="1892" customFormat="false" ht="12.8" hidden="false" customHeight="false" outlineLevel="0" collapsed="false">
      <c r="A1892" s="8" t="str">
        <f aca="false">HYPERLINK("https://www.fabsurplus.com/sdi_catalog/salesItemDetails.do?id=97955")</f>
        <v>https://www.fabsurplus.com/sdi_catalog/salesItemDetails.do?id=97955</v>
      </c>
      <c r="B1892" s="8" t="s">
        <v>4513</v>
      </c>
      <c r="C1892" s="8" t="s">
        <v>4445</v>
      </c>
      <c r="D1892" s="8" t="s">
        <v>4514</v>
      </c>
      <c r="E1892" s="8" t="s">
        <v>4515</v>
      </c>
      <c r="F1892" s="8" t="s">
        <v>16</v>
      </c>
      <c r="G1892" s="8" t="s">
        <v>1851</v>
      </c>
      <c r="H1892" s="8"/>
      <c r="I1892" s="8"/>
      <c r="J1892" s="8" t="s">
        <v>81</v>
      </c>
      <c r="K1892" s="8"/>
    </row>
    <row r="1893" customFormat="false" ht="12.8" hidden="false" customHeight="false" outlineLevel="0" collapsed="false">
      <c r="A1893" s="6" t="str">
        <f aca="false">HYPERLINK("https://www.fabsurplus.com/sdi_catalog/salesItemDetails.do?id=97869")</f>
        <v>https://www.fabsurplus.com/sdi_catalog/salesItemDetails.do?id=97869</v>
      </c>
      <c r="B1893" s="6" t="s">
        <v>4516</v>
      </c>
      <c r="C1893" s="6" t="s">
        <v>4445</v>
      </c>
      <c r="D1893" s="6" t="s">
        <v>4514</v>
      </c>
      <c r="E1893" s="6" t="s">
        <v>4045</v>
      </c>
      <c r="F1893" s="6" t="s">
        <v>245</v>
      </c>
      <c r="G1893" s="6"/>
      <c r="H1893" s="6"/>
      <c r="I1893" s="6"/>
      <c r="J1893" s="6" t="s">
        <v>19</v>
      </c>
      <c r="K1893" s="6"/>
    </row>
    <row r="1894" customFormat="false" ht="12.8" hidden="false" customHeight="false" outlineLevel="0" collapsed="false">
      <c r="A1894" s="6" t="str">
        <f aca="false">HYPERLINK("https://www.fabsurplus.com/sdi_catalog/salesItemDetails.do?id=98007")</f>
        <v>https://www.fabsurplus.com/sdi_catalog/salesItemDetails.do?id=98007</v>
      </c>
      <c r="B1894" s="6" t="s">
        <v>4517</v>
      </c>
      <c r="C1894" s="6" t="s">
        <v>4420</v>
      </c>
      <c r="D1894" s="6" t="s">
        <v>4518</v>
      </c>
      <c r="E1894" s="6" t="s">
        <v>4045</v>
      </c>
      <c r="F1894" s="6" t="s">
        <v>16</v>
      </c>
      <c r="G1894" s="6"/>
      <c r="H1894" s="6"/>
      <c r="I1894" s="6"/>
      <c r="J1894" s="6" t="s">
        <v>19</v>
      </c>
      <c r="K1894" s="6"/>
    </row>
    <row r="1895" customFormat="false" ht="12.8" hidden="false" customHeight="false" outlineLevel="0" collapsed="false">
      <c r="A1895" s="6" t="str">
        <f aca="false">HYPERLINK("https://www.fabsurplus.com/sdi_catalog/salesItemDetails.do?id=96985")</f>
        <v>https://www.fabsurplus.com/sdi_catalog/salesItemDetails.do?id=96985</v>
      </c>
      <c r="B1895" s="6" t="s">
        <v>4519</v>
      </c>
      <c r="C1895" s="6" t="s">
        <v>4520</v>
      </c>
      <c r="D1895" s="6" t="s">
        <v>4521</v>
      </c>
      <c r="E1895" s="6" t="s">
        <v>4439</v>
      </c>
      <c r="F1895" s="6" t="s">
        <v>611</v>
      </c>
      <c r="G1895" s="6" t="s">
        <v>32</v>
      </c>
      <c r="H1895" s="6"/>
      <c r="I1895" s="7" t="n">
        <v>34121</v>
      </c>
      <c r="J1895" s="6" t="s">
        <v>81</v>
      </c>
      <c r="K1895" s="6"/>
    </row>
    <row r="1896" customFormat="false" ht="12.8" hidden="false" customHeight="false" outlineLevel="0" collapsed="false">
      <c r="A1896" s="8" t="str">
        <f aca="false">HYPERLINK("https://www.fabsurplus.com/sdi_catalog/salesItemDetails.do?id=100351")</f>
        <v>https://www.fabsurplus.com/sdi_catalog/salesItemDetails.do?id=100351</v>
      </c>
      <c r="B1896" s="8" t="s">
        <v>4522</v>
      </c>
      <c r="C1896" s="8" t="s">
        <v>4523</v>
      </c>
      <c r="D1896" s="8" t="s">
        <v>4524</v>
      </c>
      <c r="E1896" s="8" t="s">
        <v>4525</v>
      </c>
      <c r="F1896" s="8" t="s">
        <v>16</v>
      </c>
      <c r="G1896" s="8"/>
      <c r="H1896" s="8" t="s">
        <v>18</v>
      </c>
      <c r="I1896" s="8"/>
      <c r="J1896" s="8" t="s">
        <v>19</v>
      </c>
      <c r="K1896" s="8"/>
    </row>
    <row r="1897" customFormat="false" ht="12.8" hidden="false" customHeight="false" outlineLevel="0" collapsed="false">
      <c r="A1897" s="6" t="str">
        <f aca="false">HYPERLINK("https://www.fabsurplus.com/sdi_catalog/salesItemDetails.do?id=98162")</f>
        <v>https://www.fabsurplus.com/sdi_catalog/salesItemDetails.do?id=98162</v>
      </c>
      <c r="B1897" s="6" t="s">
        <v>4526</v>
      </c>
      <c r="C1897" s="6" t="s">
        <v>4527</v>
      </c>
      <c r="D1897" s="6" t="s">
        <v>4528</v>
      </c>
      <c r="E1897" s="6" t="s">
        <v>2061</v>
      </c>
      <c r="F1897" s="6" t="s">
        <v>16</v>
      </c>
      <c r="G1897" s="6" t="s">
        <v>310</v>
      </c>
      <c r="H1897" s="6"/>
      <c r="I1897" s="7" t="n">
        <v>37773</v>
      </c>
      <c r="J1897" s="6" t="s">
        <v>19</v>
      </c>
      <c r="K1897" s="6"/>
    </row>
    <row r="1898" customFormat="false" ht="12.8" hidden="false" customHeight="false" outlineLevel="0" collapsed="false">
      <c r="A1898" s="6" t="str">
        <f aca="false">HYPERLINK("https://www.fabsurplus.com/sdi_catalog/salesItemDetails.do?id=98164")</f>
        <v>https://www.fabsurplus.com/sdi_catalog/salesItemDetails.do?id=98164</v>
      </c>
      <c r="B1898" s="6" t="s">
        <v>4529</v>
      </c>
      <c r="C1898" s="6" t="s">
        <v>4527</v>
      </c>
      <c r="D1898" s="6" t="s">
        <v>4530</v>
      </c>
      <c r="E1898" s="6" t="s">
        <v>4531</v>
      </c>
      <c r="F1898" s="6" t="s">
        <v>16</v>
      </c>
      <c r="G1898" s="6" t="s">
        <v>310</v>
      </c>
      <c r="H1898" s="6"/>
      <c r="I1898" s="6"/>
      <c r="J1898" s="6" t="s">
        <v>19</v>
      </c>
      <c r="K1898" s="6"/>
    </row>
    <row r="1899" customFormat="false" ht="12.8" hidden="false" customHeight="false" outlineLevel="0" collapsed="false">
      <c r="A1899" s="8" t="str">
        <f aca="false">HYPERLINK("https://www.fabsurplus.com/sdi_catalog/salesItemDetails.do?id=98163")</f>
        <v>https://www.fabsurplus.com/sdi_catalog/salesItemDetails.do?id=98163</v>
      </c>
      <c r="B1899" s="8" t="s">
        <v>4532</v>
      </c>
      <c r="C1899" s="8" t="s">
        <v>4527</v>
      </c>
      <c r="D1899" s="8" t="s">
        <v>4530</v>
      </c>
      <c r="E1899" s="8" t="s">
        <v>4531</v>
      </c>
      <c r="F1899" s="8" t="s">
        <v>16</v>
      </c>
      <c r="G1899" s="8" t="s">
        <v>310</v>
      </c>
      <c r="H1899" s="8"/>
      <c r="I1899" s="8"/>
      <c r="J1899" s="8" t="s">
        <v>19</v>
      </c>
      <c r="K1899" s="8"/>
    </row>
    <row r="1900" customFormat="false" ht="12.8" hidden="false" customHeight="false" outlineLevel="0" collapsed="false">
      <c r="A1900" s="6" t="str">
        <f aca="false">HYPERLINK("https://www.fabsurplus.com/sdi_catalog/salesItemDetails.do?id=99223")</f>
        <v>https://www.fabsurplus.com/sdi_catalog/salesItemDetails.do?id=99223</v>
      </c>
      <c r="B1900" s="6" t="s">
        <v>4533</v>
      </c>
      <c r="C1900" s="6" t="s">
        <v>4527</v>
      </c>
      <c r="D1900" s="6" t="s">
        <v>4534</v>
      </c>
      <c r="E1900" s="6" t="s">
        <v>4535</v>
      </c>
      <c r="F1900" s="6" t="s">
        <v>16</v>
      </c>
      <c r="G1900" s="6" t="s">
        <v>686</v>
      </c>
      <c r="H1900" s="6"/>
      <c r="I1900" s="7" t="n">
        <v>38626</v>
      </c>
      <c r="J1900" s="6" t="s">
        <v>19</v>
      </c>
      <c r="K1900" s="6"/>
    </row>
    <row r="1901" customFormat="false" ht="12.8" hidden="false" customHeight="false" outlineLevel="0" collapsed="false">
      <c r="A1901" s="8" t="str">
        <f aca="false">HYPERLINK("https://www.fabsurplus.com/sdi_catalog/salesItemDetails.do?id=99222")</f>
        <v>https://www.fabsurplus.com/sdi_catalog/salesItemDetails.do?id=99222</v>
      </c>
      <c r="B1901" s="8" t="s">
        <v>4536</v>
      </c>
      <c r="C1901" s="8" t="s">
        <v>4527</v>
      </c>
      <c r="D1901" s="8" t="s">
        <v>4534</v>
      </c>
      <c r="E1901" s="8" t="s">
        <v>4535</v>
      </c>
      <c r="F1901" s="8" t="s">
        <v>16</v>
      </c>
      <c r="G1901" s="8" t="s">
        <v>686</v>
      </c>
      <c r="H1901" s="8"/>
      <c r="I1901" s="9" t="n">
        <v>38596</v>
      </c>
      <c r="J1901" s="8" t="s">
        <v>19</v>
      </c>
      <c r="K1901" s="8"/>
    </row>
    <row r="1902" customFormat="false" ht="12.8" hidden="false" customHeight="false" outlineLevel="0" collapsed="false">
      <c r="A1902" s="6" t="str">
        <f aca="false">HYPERLINK("https://www.fabsurplus.com/sdi_catalog/salesItemDetails.do?id=99221")</f>
        <v>https://www.fabsurplus.com/sdi_catalog/salesItemDetails.do?id=99221</v>
      </c>
      <c r="B1902" s="6" t="s">
        <v>4537</v>
      </c>
      <c r="C1902" s="6" t="s">
        <v>4527</v>
      </c>
      <c r="D1902" s="6" t="s">
        <v>4534</v>
      </c>
      <c r="E1902" s="6" t="s">
        <v>4535</v>
      </c>
      <c r="F1902" s="6" t="s">
        <v>16</v>
      </c>
      <c r="G1902" s="6" t="s">
        <v>686</v>
      </c>
      <c r="H1902" s="6"/>
      <c r="I1902" s="7" t="n">
        <v>38596</v>
      </c>
      <c r="J1902" s="6" t="s">
        <v>19</v>
      </c>
      <c r="K1902" s="6"/>
    </row>
    <row r="1903" customFormat="false" ht="12.8" hidden="false" customHeight="false" outlineLevel="0" collapsed="false">
      <c r="A1903" s="6" t="str">
        <f aca="false">HYPERLINK("https://www.fabsurplus.com/sdi_catalog/salesItemDetails.do?id=99866")</f>
        <v>https://www.fabsurplus.com/sdi_catalog/salesItemDetails.do?id=99866</v>
      </c>
      <c r="B1903" s="6" t="s">
        <v>4538</v>
      </c>
      <c r="C1903" s="6" t="s">
        <v>4539</v>
      </c>
      <c r="D1903" s="6" t="s">
        <v>4540</v>
      </c>
      <c r="E1903" s="6" t="s">
        <v>4080</v>
      </c>
      <c r="F1903" s="6" t="s">
        <v>16</v>
      </c>
      <c r="G1903" s="6"/>
      <c r="H1903" s="6"/>
      <c r="I1903" s="6"/>
      <c r="J1903" s="6" t="s">
        <v>81</v>
      </c>
      <c r="K1903" s="6"/>
    </row>
    <row r="1904" customFormat="false" ht="12.8" hidden="false" customHeight="false" outlineLevel="0" collapsed="false">
      <c r="A1904" s="6" t="str">
        <f aca="false">HYPERLINK("https://www.fabsurplus.com/sdi_catalog/salesItemDetails.do?id=98486")</f>
        <v>https://www.fabsurplus.com/sdi_catalog/salesItemDetails.do?id=98486</v>
      </c>
      <c r="B1904" s="6" t="s">
        <v>4541</v>
      </c>
      <c r="C1904" s="6" t="s">
        <v>4539</v>
      </c>
      <c r="D1904" s="6" t="s">
        <v>4542</v>
      </c>
      <c r="E1904" s="6" t="s">
        <v>4543</v>
      </c>
      <c r="F1904" s="6" t="s">
        <v>16</v>
      </c>
      <c r="G1904" s="6" t="s">
        <v>686</v>
      </c>
      <c r="H1904" s="6"/>
      <c r="I1904" s="6"/>
      <c r="J1904" s="6" t="s">
        <v>19</v>
      </c>
      <c r="K1904" s="6"/>
    </row>
    <row r="1905" customFormat="false" ht="12.8" hidden="false" customHeight="false" outlineLevel="0" collapsed="false">
      <c r="A1905" s="6" t="str">
        <f aca="false">HYPERLINK("https://www.fabsurplus.com/sdi_catalog/salesItemDetails.do?id=97956")</f>
        <v>https://www.fabsurplus.com/sdi_catalog/salesItemDetails.do?id=97956</v>
      </c>
      <c r="B1905" s="6" t="s">
        <v>4544</v>
      </c>
      <c r="C1905" s="6" t="s">
        <v>4545</v>
      </c>
      <c r="D1905" s="6" t="s">
        <v>4546</v>
      </c>
      <c r="E1905" s="6" t="s">
        <v>4397</v>
      </c>
      <c r="F1905" s="6" t="s">
        <v>16</v>
      </c>
      <c r="G1905" s="6" t="s">
        <v>1851</v>
      </c>
      <c r="H1905" s="6"/>
      <c r="I1905" s="6"/>
      <c r="J1905" s="6" t="s">
        <v>81</v>
      </c>
      <c r="K1905" s="6"/>
    </row>
    <row r="1906" customFormat="false" ht="12.8" hidden="false" customHeight="false" outlineLevel="0" collapsed="false">
      <c r="A1906" s="6" t="str">
        <f aca="false">HYPERLINK("https://www.fabsurplus.com/sdi_catalog/salesItemDetails.do?id=99326")</f>
        <v>https://www.fabsurplus.com/sdi_catalog/salesItemDetails.do?id=99326</v>
      </c>
      <c r="B1906" s="6" t="s">
        <v>4547</v>
      </c>
      <c r="C1906" s="6" t="s">
        <v>4548</v>
      </c>
      <c r="D1906" s="6" t="s">
        <v>4549</v>
      </c>
      <c r="E1906" s="6" t="s">
        <v>4550</v>
      </c>
      <c r="F1906" s="6" t="s">
        <v>16</v>
      </c>
      <c r="G1906" s="6" t="s">
        <v>434</v>
      </c>
      <c r="H1906" s="6" t="s">
        <v>33</v>
      </c>
      <c r="I1906" s="7" t="n">
        <v>42156</v>
      </c>
      <c r="J1906" s="6" t="s">
        <v>19</v>
      </c>
      <c r="K1906" s="6" t="s">
        <v>20</v>
      </c>
    </row>
    <row r="1907" customFormat="false" ht="12.8" hidden="false" customHeight="false" outlineLevel="0" collapsed="false">
      <c r="A1907" s="6" t="str">
        <f aca="false">HYPERLINK("https://www.fabsurplus.com/sdi_catalog/salesItemDetails.do?id=98924")</f>
        <v>https://www.fabsurplus.com/sdi_catalog/salesItemDetails.do?id=98924</v>
      </c>
      <c r="B1907" s="6" t="s">
        <v>4551</v>
      </c>
      <c r="C1907" s="6" t="s">
        <v>4552</v>
      </c>
      <c r="D1907" s="6" t="s">
        <v>4553</v>
      </c>
      <c r="E1907" s="6" t="s">
        <v>47</v>
      </c>
      <c r="F1907" s="6" t="s">
        <v>16</v>
      </c>
      <c r="G1907" s="6"/>
      <c r="H1907" s="6"/>
      <c r="I1907" s="6"/>
      <c r="J1907" s="6" t="s">
        <v>19</v>
      </c>
      <c r="K1907" s="6"/>
    </row>
    <row r="1908" customFormat="false" ht="12.8" hidden="false" customHeight="false" outlineLevel="0" collapsed="false">
      <c r="A1908" s="6" t="str">
        <f aca="false">HYPERLINK("https://www.fabsurplus.com/sdi_catalog/salesItemDetails.do?id=98927")</f>
        <v>https://www.fabsurplus.com/sdi_catalog/salesItemDetails.do?id=98927</v>
      </c>
      <c r="B1908" s="6" t="s">
        <v>4554</v>
      </c>
      <c r="C1908" s="6" t="s">
        <v>4552</v>
      </c>
      <c r="D1908" s="6" t="s">
        <v>2927</v>
      </c>
      <c r="E1908" s="6" t="s">
        <v>2010</v>
      </c>
      <c r="F1908" s="6" t="s">
        <v>16</v>
      </c>
      <c r="G1908" s="6"/>
      <c r="H1908" s="6"/>
      <c r="I1908" s="6"/>
      <c r="J1908" s="6" t="s">
        <v>19</v>
      </c>
      <c r="K1908" s="6"/>
    </row>
    <row r="1909" customFormat="false" ht="12.8" hidden="false" customHeight="false" outlineLevel="0" collapsed="false">
      <c r="A1909" s="6" t="str">
        <f aca="false">HYPERLINK("https://www.fabsurplus.com/sdi_catalog/salesItemDetails.do?id=98926")</f>
        <v>https://www.fabsurplus.com/sdi_catalog/salesItemDetails.do?id=98926</v>
      </c>
      <c r="B1909" s="6" t="s">
        <v>4555</v>
      </c>
      <c r="C1909" s="6" t="s">
        <v>4552</v>
      </c>
      <c r="D1909" s="6" t="s">
        <v>2927</v>
      </c>
      <c r="E1909" s="6" t="s">
        <v>2010</v>
      </c>
      <c r="F1909" s="6" t="s">
        <v>16</v>
      </c>
      <c r="G1909" s="6"/>
      <c r="H1909" s="6"/>
      <c r="I1909" s="6"/>
      <c r="J1909" s="6" t="s">
        <v>19</v>
      </c>
      <c r="K1909" s="6"/>
    </row>
    <row r="1910" customFormat="false" ht="12.8" hidden="false" customHeight="false" outlineLevel="0" collapsed="false">
      <c r="A1910" s="8" t="str">
        <f aca="false">HYPERLINK("https://www.fabsurplus.com/sdi_catalog/salesItemDetails.do?id=98925")</f>
        <v>https://www.fabsurplus.com/sdi_catalog/salesItemDetails.do?id=98925</v>
      </c>
      <c r="B1910" s="8" t="s">
        <v>4556</v>
      </c>
      <c r="C1910" s="8" t="s">
        <v>4552</v>
      </c>
      <c r="D1910" s="8" t="s">
        <v>2927</v>
      </c>
      <c r="E1910" s="8" t="s">
        <v>2010</v>
      </c>
      <c r="F1910" s="8" t="s">
        <v>16</v>
      </c>
      <c r="G1910" s="8"/>
      <c r="H1910" s="8"/>
      <c r="I1910" s="8"/>
      <c r="J1910" s="8" t="s">
        <v>19</v>
      </c>
      <c r="K1910" s="8"/>
    </row>
    <row r="1911" customFormat="false" ht="12.8" hidden="false" customHeight="false" outlineLevel="0" collapsed="false">
      <c r="A1911" s="8" t="str">
        <f aca="false">HYPERLINK("https://www.fabsurplus.com/sdi_catalog/salesItemDetails.do?id=98860")</f>
        <v>https://www.fabsurplus.com/sdi_catalog/salesItemDetails.do?id=98860</v>
      </c>
      <c r="B1911" s="8" t="s">
        <v>4557</v>
      </c>
      <c r="C1911" s="8" t="s">
        <v>4552</v>
      </c>
      <c r="D1911" s="8" t="s">
        <v>4558</v>
      </c>
      <c r="E1911" s="8" t="s">
        <v>4559</v>
      </c>
      <c r="F1911" s="8" t="s">
        <v>16</v>
      </c>
      <c r="G1911" s="8" t="s">
        <v>32</v>
      </c>
      <c r="H1911" s="8"/>
      <c r="I1911" s="8"/>
      <c r="J1911" s="8" t="s">
        <v>81</v>
      </c>
      <c r="K1911" s="8"/>
    </row>
    <row r="1912" customFormat="false" ht="12.8" hidden="false" customHeight="false" outlineLevel="0" collapsed="false">
      <c r="A1912" s="6" t="str">
        <f aca="false">HYPERLINK("https://www.fabsurplus.com/sdi_catalog/salesItemDetails.do?id=97183")</f>
        <v>https://www.fabsurplus.com/sdi_catalog/salesItemDetails.do?id=97183</v>
      </c>
      <c r="B1912" s="6" t="s">
        <v>4560</v>
      </c>
      <c r="C1912" s="6" t="s">
        <v>4552</v>
      </c>
      <c r="D1912" s="6" t="s">
        <v>4561</v>
      </c>
      <c r="E1912" s="6" t="s">
        <v>1700</v>
      </c>
      <c r="F1912" s="6" t="s">
        <v>16</v>
      </c>
      <c r="G1912" s="6" t="s">
        <v>32</v>
      </c>
      <c r="H1912" s="6" t="s">
        <v>311</v>
      </c>
      <c r="I1912" s="6"/>
      <c r="J1912" s="6"/>
      <c r="K1912" s="6" t="s">
        <v>2339</v>
      </c>
    </row>
    <row r="1913" customFormat="false" ht="12.8" hidden="false" customHeight="false" outlineLevel="0" collapsed="false">
      <c r="A1913" s="8" t="str">
        <f aca="false">HYPERLINK("https://www.fabsurplus.com/sdi_catalog/salesItemDetails.do?id=99999")</f>
        <v>https://www.fabsurplus.com/sdi_catalog/salesItemDetails.do?id=99999</v>
      </c>
      <c r="B1913" s="8" t="s">
        <v>4562</v>
      </c>
      <c r="C1913" s="8" t="s">
        <v>4552</v>
      </c>
      <c r="D1913" s="8" t="s">
        <v>4563</v>
      </c>
      <c r="E1913" s="8" t="s">
        <v>1681</v>
      </c>
      <c r="F1913" s="8" t="s">
        <v>16</v>
      </c>
      <c r="G1913" s="8" t="s">
        <v>697</v>
      </c>
      <c r="H1913" s="8"/>
      <c r="I1913" s="8"/>
      <c r="J1913" s="8" t="s">
        <v>19</v>
      </c>
      <c r="K1913" s="8"/>
    </row>
    <row r="1914" customFormat="false" ht="12.8" hidden="false" customHeight="false" outlineLevel="0" collapsed="false">
      <c r="A1914" s="6" t="str">
        <f aca="false">HYPERLINK("https://www.fabsurplus.com/sdi_catalog/salesItemDetails.do?id=99998")</f>
        <v>https://www.fabsurplus.com/sdi_catalog/salesItemDetails.do?id=99998</v>
      </c>
      <c r="B1914" s="6" t="s">
        <v>4564</v>
      </c>
      <c r="C1914" s="6" t="s">
        <v>4552</v>
      </c>
      <c r="D1914" s="6" t="s">
        <v>4563</v>
      </c>
      <c r="E1914" s="6" t="s">
        <v>1681</v>
      </c>
      <c r="F1914" s="6" t="s">
        <v>16</v>
      </c>
      <c r="G1914" s="6" t="s">
        <v>697</v>
      </c>
      <c r="H1914" s="6"/>
      <c r="I1914" s="7" t="n">
        <v>36312</v>
      </c>
      <c r="J1914" s="6" t="s">
        <v>19</v>
      </c>
      <c r="K1914" s="6"/>
    </row>
    <row r="1915" customFormat="false" ht="12.8" hidden="false" customHeight="false" outlineLevel="0" collapsed="false">
      <c r="A1915" s="6" t="str">
        <f aca="false">HYPERLINK("https://www.fabsurplus.com/sdi_catalog/salesItemDetails.do?id=98166")</f>
        <v>https://www.fabsurplus.com/sdi_catalog/salesItemDetails.do?id=98166</v>
      </c>
      <c r="B1915" s="6" t="s">
        <v>4565</v>
      </c>
      <c r="C1915" s="6" t="s">
        <v>4552</v>
      </c>
      <c r="D1915" s="6" t="s">
        <v>4566</v>
      </c>
      <c r="E1915" s="6" t="s">
        <v>3993</v>
      </c>
      <c r="F1915" s="6" t="s">
        <v>16</v>
      </c>
      <c r="G1915" s="6" t="s">
        <v>32</v>
      </c>
      <c r="H1915" s="6"/>
      <c r="I1915" s="7" t="n">
        <v>35217</v>
      </c>
      <c r="J1915" s="6" t="s">
        <v>19</v>
      </c>
      <c r="K1915" s="6"/>
    </row>
    <row r="1916" customFormat="false" ht="12.8" hidden="false" customHeight="false" outlineLevel="0" collapsed="false">
      <c r="A1916" s="8" t="str">
        <f aca="false">HYPERLINK("https://www.fabsurplus.com/sdi_catalog/salesItemDetails.do?id=98165")</f>
        <v>https://www.fabsurplus.com/sdi_catalog/salesItemDetails.do?id=98165</v>
      </c>
      <c r="B1916" s="8" t="s">
        <v>4567</v>
      </c>
      <c r="C1916" s="8" t="s">
        <v>4552</v>
      </c>
      <c r="D1916" s="8" t="s">
        <v>4566</v>
      </c>
      <c r="E1916" s="8" t="s">
        <v>3993</v>
      </c>
      <c r="F1916" s="8" t="s">
        <v>16</v>
      </c>
      <c r="G1916" s="8" t="s">
        <v>32</v>
      </c>
      <c r="H1916" s="8"/>
      <c r="I1916" s="9" t="n">
        <v>37773</v>
      </c>
      <c r="J1916" s="8" t="s">
        <v>19</v>
      </c>
      <c r="K1916" s="8"/>
    </row>
    <row r="1917" customFormat="false" ht="12.8" hidden="false" customHeight="false" outlineLevel="0" collapsed="false">
      <c r="A1917" s="8" t="str">
        <f aca="false">HYPERLINK("https://www.fabsurplus.com/sdi_catalog/salesItemDetails.do?id=97180")</f>
        <v>https://www.fabsurplus.com/sdi_catalog/salesItemDetails.do?id=97180</v>
      </c>
      <c r="B1917" s="8" t="s">
        <v>4568</v>
      </c>
      <c r="C1917" s="8" t="s">
        <v>4552</v>
      </c>
      <c r="D1917" s="8" t="s">
        <v>4569</v>
      </c>
      <c r="E1917" s="8" t="s">
        <v>1700</v>
      </c>
      <c r="F1917" s="8" t="s">
        <v>16</v>
      </c>
      <c r="G1917" s="8" t="s">
        <v>32</v>
      </c>
      <c r="H1917" s="8" t="s">
        <v>311</v>
      </c>
      <c r="I1917" s="8"/>
      <c r="J1917" s="8"/>
      <c r="K1917" s="8" t="s">
        <v>2339</v>
      </c>
    </row>
    <row r="1918" customFormat="false" ht="12.8" hidden="false" customHeight="false" outlineLevel="0" collapsed="false">
      <c r="A1918" s="8" t="str">
        <f aca="false">HYPERLINK("https://www.fabsurplus.com/sdi_catalog/salesItemDetails.do?id=99867")</f>
        <v>https://www.fabsurplus.com/sdi_catalog/salesItemDetails.do?id=99867</v>
      </c>
      <c r="B1918" s="8" t="s">
        <v>4570</v>
      </c>
      <c r="C1918" s="8" t="s">
        <v>4552</v>
      </c>
      <c r="D1918" s="8" t="s">
        <v>4571</v>
      </c>
      <c r="E1918" s="8" t="s">
        <v>4572</v>
      </c>
      <c r="F1918" s="8" t="s">
        <v>16</v>
      </c>
      <c r="G1918" s="8"/>
      <c r="H1918" s="8"/>
      <c r="I1918" s="8"/>
      <c r="J1918" s="8" t="s">
        <v>81</v>
      </c>
      <c r="K1918" s="8"/>
    </row>
    <row r="1919" customFormat="false" ht="12.8" hidden="false" customHeight="false" outlineLevel="0" collapsed="false">
      <c r="A1919" s="8" t="str">
        <f aca="false">HYPERLINK("https://www.fabsurplus.com/sdi_catalog/salesItemDetails.do?id=100227")</f>
        <v>https://www.fabsurplus.com/sdi_catalog/salesItemDetails.do?id=100227</v>
      </c>
      <c r="B1919" s="8" t="s">
        <v>4573</v>
      </c>
      <c r="C1919" s="8" t="s">
        <v>4552</v>
      </c>
      <c r="D1919" s="8" t="s">
        <v>4574</v>
      </c>
      <c r="E1919" s="8" t="s">
        <v>4575</v>
      </c>
      <c r="F1919" s="8" t="s">
        <v>16</v>
      </c>
      <c r="G1919" s="8" t="s">
        <v>686</v>
      </c>
      <c r="H1919" s="8" t="s">
        <v>18</v>
      </c>
      <c r="I1919" s="8"/>
      <c r="J1919" s="8" t="s">
        <v>19</v>
      </c>
      <c r="K1919" s="8" t="s">
        <v>20</v>
      </c>
    </row>
    <row r="1920" customFormat="false" ht="12.8" hidden="false" customHeight="false" outlineLevel="0" collapsed="false">
      <c r="A1920" s="6" t="str">
        <f aca="false">HYPERLINK("https://www.fabsurplus.com/sdi_catalog/salesItemDetails.do?id=99226")</f>
        <v>https://www.fabsurplus.com/sdi_catalog/salesItemDetails.do?id=99226</v>
      </c>
      <c r="B1920" s="6" t="s">
        <v>4576</v>
      </c>
      <c r="C1920" s="6" t="s">
        <v>4552</v>
      </c>
      <c r="D1920" s="6" t="s">
        <v>4577</v>
      </c>
      <c r="E1920" s="6" t="s">
        <v>2050</v>
      </c>
      <c r="F1920" s="6" t="s">
        <v>16</v>
      </c>
      <c r="G1920" s="6" t="s">
        <v>686</v>
      </c>
      <c r="H1920" s="6"/>
      <c r="I1920" s="6"/>
      <c r="J1920" s="6" t="s">
        <v>19</v>
      </c>
      <c r="K1920" s="6"/>
    </row>
    <row r="1921" customFormat="false" ht="12.8" hidden="false" customHeight="false" outlineLevel="0" collapsed="false">
      <c r="A1921" s="6" t="str">
        <f aca="false">HYPERLINK("https://www.fabsurplus.com/sdi_catalog/salesItemDetails.do?id=98294")</f>
        <v>https://www.fabsurplus.com/sdi_catalog/salesItemDetails.do?id=98294</v>
      </c>
      <c r="B1921" s="6" t="s">
        <v>4578</v>
      </c>
      <c r="C1921" s="6" t="s">
        <v>4579</v>
      </c>
      <c r="D1921" s="6" t="s">
        <v>4580</v>
      </c>
      <c r="E1921" s="6" t="s">
        <v>4581</v>
      </c>
      <c r="F1921" s="6" t="s">
        <v>16</v>
      </c>
      <c r="G1921" s="6" t="s">
        <v>310</v>
      </c>
      <c r="H1921" s="6"/>
      <c r="I1921" s="7" t="n">
        <v>38139</v>
      </c>
      <c r="J1921" s="6" t="s">
        <v>19</v>
      </c>
      <c r="K1921" s="6"/>
    </row>
    <row r="1922" customFormat="false" ht="12.8" hidden="false" customHeight="false" outlineLevel="0" collapsed="false">
      <c r="A1922" s="6" t="str">
        <f aca="false">HYPERLINK("https://www.fabsurplus.com/sdi_catalog/salesItemDetails.do?id=100230")</f>
        <v>https://www.fabsurplus.com/sdi_catalog/salesItemDetails.do?id=100230</v>
      </c>
      <c r="B1922" s="6" t="s">
        <v>4582</v>
      </c>
      <c r="C1922" s="6" t="s">
        <v>4552</v>
      </c>
      <c r="D1922" s="6" t="s">
        <v>4583</v>
      </c>
      <c r="E1922" s="6" t="s">
        <v>2050</v>
      </c>
      <c r="F1922" s="6" t="s">
        <v>16</v>
      </c>
      <c r="G1922" s="6" t="s">
        <v>686</v>
      </c>
      <c r="H1922" s="6"/>
      <c r="I1922" s="6"/>
      <c r="J1922" s="6" t="s">
        <v>19</v>
      </c>
      <c r="K1922" s="6"/>
    </row>
    <row r="1923" customFormat="false" ht="12.8" hidden="false" customHeight="false" outlineLevel="0" collapsed="false">
      <c r="A1923" s="8" t="str">
        <f aca="false">HYPERLINK("https://www.fabsurplus.com/sdi_catalog/salesItemDetails.do?id=100229")</f>
        <v>https://www.fabsurplus.com/sdi_catalog/salesItemDetails.do?id=100229</v>
      </c>
      <c r="B1923" s="8" t="s">
        <v>4584</v>
      </c>
      <c r="C1923" s="8" t="s">
        <v>4552</v>
      </c>
      <c r="D1923" s="8" t="s">
        <v>4583</v>
      </c>
      <c r="E1923" s="8" t="s">
        <v>2050</v>
      </c>
      <c r="F1923" s="8" t="s">
        <v>16</v>
      </c>
      <c r="G1923" s="8" t="s">
        <v>686</v>
      </c>
      <c r="H1923" s="8"/>
      <c r="I1923" s="8"/>
      <c r="J1923" s="8" t="s">
        <v>19</v>
      </c>
      <c r="K1923" s="8"/>
    </row>
    <row r="1924" customFormat="false" ht="12.8" hidden="false" customHeight="false" outlineLevel="0" collapsed="false">
      <c r="A1924" s="6" t="str">
        <f aca="false">HYPERLINK("https://www.fabsurplus.com/sdi_catalog/salesItemDetails.do?id=100228")</f>
        <v>https://www.fabsurplus.com/sdi_catalog/salesItemDetails.do?id=100228</v>
      </c>
      <c r="B1924" s="6" t="s">
        <v>4585</v>
      </c>
      <c r="C1924" s="6" t="s">
        <v>4552</v>
      </c>
      <c r="D1924" s="6" t="s">
        <v>4583</v>
      </c>
      <c r="E1924" s="6" t="s">
        <v>2050</v>
      </c>
      <c r="F1924" s="6" t="s">
        <v>16</v>
      </c>
      <c r="G1924" s="6" t="s">
        <v>686</v>
      </c>
      <c r="H1924" s="6"/>
      <c r="I1924" s="6"/>
      <c r="J1924" s="6" t="s">
        <v>19</v>
      </c>
      <c r="K1924" s="6"/>
    </row>
    <row r="1925" customFormat="false" ht="12.8" hidden="false" customHeight="false" outlineLevel="0" collapsed="false">
      <c r="A1925" s="6" t="str">
        <f aca="false">HYPERLINK("https://www.fabsurplus.com/sdi_catalog/salesItemDetails.do?id=98352")</f>
        <v>https://www.fabsurplus.com/sdi_catalog/salesItemDetails.do?id=98352</v>
      </c>
      <c r="B1925" s="6" t="s">
        <v>4586</v>
      </c>
      <c r="C1925" s="6" t="s">
        <v>4579</v>
      </c>
      <c r="D1925" s="6" t="s">
        <v>4587</v>
      </c>
      <c r="E1925" s="6" t="s">
        <v>2928</v>
      </c>
      <c r="F1925" s="6" t="s">
        <v>16</v>
      </c>
      <c r="G1925" s="6" t="s">
        <v>310</v>
      </c>
      <c r="H1925" s="6"/>
      <c r="I1925" s="6"/>
      <c r="J1925" s="6" t="s">
        <v>81</v>
      </c>
      <c r="K1925" s="6"/>
    </row>
    <row r="1926" customFormat="false" ht="12.8" hidden="false" customHeight="false" outlineLevel="0" collapsed="false">
      <c r="A1926" s="6" t="str">
        <f aca="false">HYPERLINK("https://www.fabsurplus.com/sdi_catalog/salesItemDetails.do?id=98168")</f>
        <v>https://www.fabsurplus.com/sdi_catalog/salesItemDetails.do?id=98168</v>
      </c>
      <c r="B1926" s="6" t="s">
        <v>4588</v>
      </c>
      <c r="C1926" s="6" t="s">
        <v>4552</v>
      </c>
      <c r="D1926" s="6" t="s">
        <v>4589</v>
      </c>
      <c r="E1926" s="6" t="s">
        <v>4590</v>
      </c>
      <c r="F1926" s="6" t="s">
        <v>16</v>
      </c>
      <c r="G1926" s="6" t="s">
        <v>310</v>
      </c>
      <c r="H1926" s="6"/>
      <c r="I1926" s="7" t="n">
        <v>41061</v>
      </c>
      <c r="J1926" s="6" t="s">
        <v>19</v>
      </c>
      <c r="K1926" s="6"/>
    </row>
    <row r="1927" customFormat="false" ht="12.8" hidden="false" customHeight="false" outlineLevel="0" collapsed="false">
      <c r="A1927" s="8" t="str">
        <f aca="false">HYPERLINK("https://www.fabsurplus.com/sdi_catalog/salesItemDetails.do?id=98167")</f>
        <v>https://www.fabsurplus.com/sdi_catalog/salesItemDetails.do?id=98167</v>
      </c>
      <c r="B1927" s="8" t="s">
        <v>4591</v>
      </c>
      <c r="C1927" s="8" t="s">
        <v>4552</v>
      </c>
      <c r="D1927" s="8" t="s">
        <v>4589</v>
      </c>
      <c r="E1927" s="8" t="s">
        <v>4590</v>
      </c>
      <c r="F1927" s="8" t="s">
        <v>16</v>
      </c>
      <c r="G1927" s="8" t="s">
        <v>310</v>
      </c>
      <c r="H1927" s="8"/>
      <c r="I1927" s="9" t="n">
        <v>41061</v>
      </c>
      <c r="J1927" s="8" t="s">
        <v>19</v>
      </c>
      <c r="K1927" s="8"/>
    </row>
    <row r="1928" customFormat="false" ht="12.8" hidden="false" customHeight="false" outlineLevel="0" collapsed="false">
      <c r="A1928" s="8" t="str">
        <f aca="false">HYPERLINK("https://www.fabsurplus.com/sdi_catalog/salesItemDetails.do?id=98037")</f>
        <v>https://www.fabsurplus.com/sdi_catalog/salesItemDetails.do?id=98037</v>
      </c>
      <c r="B1928" s="8" t="s">
        <v>4592</v>
      </c>
      <c r="C1928" s="8" t="s">
        <v>4579</v>
      </c>
      <c r="D1928" s="8" t="s">
        <v>4593</v>
      </c>
      <c r="E1928" s="8" t="s">
        <v>4594</v>
      </c>
      <c r="F1928" s="8" t="s">
        <v>16</v>
      </c>
      <c r="G1928" s="8" t="s">
        <v>32</v>
      </c>
      <c r="H1928" s="8"/>
      <c r="I1928" s="9" t="n">
        <v>34486</v>
      </c>
      <c r="J1928" s="8" t="s">
        <v>19</v>
      </c>
      <c r="K1928" s="8"/>
    </row>
    <row r="1929" customFormat="false" ht="12.8" hidden="false" customHeight="false" outlineLevel="0" collapsed="false">
      <c r="A1929" s="6" t="str">
        <f aca="false">HYPERLINK("https://www.fabsurplus.com/sdi_catalog/salesItemDetails.do?id=98036")</f>
        <v>https://www.fabsurplus.com/sdi_catalog/salesItemDetails.do?id=98036</v>
      </c>
      <c r="B1929" s="6" t="s">
        <v>4595</v>
      </c>
      <c r="C1929" s="6" t="s">
        <v>4579</v>
      </c>
      <c r="D1929" s="6" t="s">
        <v>4593</v>
      </c>
      <c r="E1929" s="6" t="s">
        <v>4594</v>
      </c>
      <c r="F1929" s="6" t="s">
        <v>16</v>
      </c>
      <c r="G1929" s="6" t="s">
        <v>32</v>
      </c>
      <c r="H1929" s="6"/>
      <c r="I1929" s="7" t="n">
        <v>34486</v>
      </c>
      <c r="J1929" s="6" t="s">
        <v>19</v>
      </c>
      <c r="K1929" s="6"/>
    </row>
    <row r="1930" customFormat="false" ht="12.8" hidden="false" customHeight="false" outlineLevel="0" collapsed="false">
      <c r="A1930" s="8" t="str">
        <f aca="false">HYPERLINK("https://www.fabsurplus.com/sdi_catalog/salesItemDetails.do?id=98035")</f>
        <v>https://www.fabsurplus.com/sdi_catalog/salesItemDetails.do?id=98035</v>
      </c>
      <c r="B1930" s="8" t="s">
        <v>4596</v>
      </c>
      <c r="C1930" s="8" t="s">
        <v>4579</v>
      </c>
      <c r="D1930" s="8" t="s">
        <v>4593</v>
      </c>
      <c r="E1930" s="8" t="s">
        <v>4594</v>
      </c>
      <c r="F1930" s="8" t="s">
        <v>16</v>
      </c>
      <c r="G1930" s="8" t="s">
        <v>32</v>
      </c>
      <c r="H1930" s="8"/>
      <c r="I1930" s="9" t="n">
        <v>34486</v>
      </c>
      <c r="J1930" s="8" t="s">
        <v>19</v>
      </c>
      <c r="K1930" s="8"/>
    </row>
    <row r="1931" customFormat="false" ht="12.8" hidden="false" customHeight="false" outlineLevel="0" collapsed="false">
      <c r="A1931" s="8" t="str">
        <f aca="false">HYPERLINK("https://www.fabsurplus.com/sdi_catalog/salesItemDetails.do?id=98928")</f>
        <v>https://www.fabsurplus.com/sdi_catalog/salesItemDetails.do?id=98928</v>
      </c>
      <c r="B1931" s="8" t="s">
        <v>4597</v>
      </c>
      <c r="C1931" s="8" t="s">
        <v>4552</v>
      </c>
      <c r="D1931" s="8" t="s">
        <v>4598</v>
      </c>
      <c r="E1931" s="8" t="s">
        <v>4599</v>
      </c>
      <c r="F1931" s="8" t="s">
        <v>16</v>
      </c>
      <c r="G1931" s="8"/>
      <c r="H1931" s="8"/>
      <c r="I1931" s="8"/>
      <c r="J1931" s="8" t="s">
        <v>19</v>
      </c>
      <c r="K1931" s="8"/>
    </row>
    <row r="1932" customFormat="false" ht="12.8" hidden="false" customHeight="false" outlineLevel="0" collapsed="false">
      <c r="A1932" s="8" t="str">
        <f aca="false">HYPERLINK("https://www.fabsurplus.com/sdi_catalog/salesItemDetails.do?id=98295")</f>
        <v>https://www.fabsurplus.com/sdi_catalog/salesItemDetails.do?id=98295</v>
      </c>
      <c r="B1932" s="8" t="s">
        <v>4600</v>
      </c>
      <c r="C1932" s="8" t="s">
        <v>4579</v>
      </c>
      <c r="D1932" s="8" t="s">
        <v>4004</v>
      </c>
      <c r="E1932" s="8" t="s">
        <v>1681</v>
      </c>
      <c r="F1932" s="8" t="s">
        <v>16</v>
      </c>
      <c r="G1932" s="8" t="s">
        <v>310</v>
      </c>
      <c r="H1932" s="8"/>
      <c r="I1932" s="9" t="n">
        <v>41061</v>
      </c>
      <c r="J1932" s="8" t="s">
        <v>19</v>
      </c>
      <c r="K1932" s="8"/>
    </row>
    <row r="1933" customFormat="false" ht="12.8" hidden="false" customHeight="false" outlineLevel="0" collapsed="false">
      <c r="A1933" s="6" t="str">
        <f aca="false">HYPERLINK("https://www.fabsurplus.com/sdi_catalog/salesItemDetails.do?id=99949")</f>
        <v>https://www.fabsurplus.com/sdi_catalog/salesItemDetails.do?id=99949</v>
      </c>
      <c r="B1933" s="6" t="s">
        <v>4601</v>
      </c>
      <c r="C1933" s="6" t="s">
        <v>4552</v>
      </c>
      <c r="D1933" s="6" t="s">
        <v>4008</v>
      </c>
      <c r="E1933" s="6" t="s">
        <v>1681</v>
      </c>
      <c r="F1933" s="6" t="s">
        <v>16</v>
      </c>
      <c r="G1933" s="6" t="s">
        <v>310</v>
      </c>
      <c r="H1933" s="6"/>
      <c r="I1933" s="7" t="n">
        <v>38504</v>
      </c>
      <c r="J1933" s="6" t="s">
        <v>19</v>
      </c>
      <c r="K1933" s="6"/>
    </row>
    <row r="1934" customFormat="false" ht="12.8" hidden="false" customHeight="false" outlineLevel="0" collapsed="false">
      <c r="A1934" s="8" t="str">
        <f aca="false">HYPERLINK("https://www.fabsurplus.com/sdi_catalog/salesItemDetails.do?id=100231")</f>
        <v>https://www.fabsurplus.com/sdi_catalog/salesItemDetails.do?id=100231</v>
      </c>
      <c r="B1934" s="8" t="s">
        <v>4602</v>
      </c>
      <c r="C1934" s="8" t="s">
        <v>4552</v>
      </c>
      <c r="D1934" s="8" t="s">
        <v>4603</v>
      </c>
      <c r="E1934" s="8" t="s">
        <v>1707</v>
      </c>
      <c r="F1934" s="8" t="s">
        <v>16</v>
      </c>
      <c r="G1934" s="8" t="s">
        <v>686</v>
      </c>
      <c r="H1934" s="8"/>
      <c r="I1934" s="8"/>
      <c r="J1934" s="8" t="s">
        <v>19</v>
      </c>
      <c r="K1934" s="8"/>
    </row>
    <row r="1935" customFormat="false" ht="12.8" hidden="false" customHeight="false" outlineLevel="0" collapsed="false">
      <c r="A1935" s="8" t="str">
        <f aca="false">HYPERLINK("https://www.fabsurplus.com/sdi_catalog/salesItemDetails.do?id=97716")</f>
        <v>https://www.fabsurplus.com/sdi_catalog/salesItemDetails.do?id=97716</v>
      </c>
      <c r="B1935" s="8" t="s">
        <v>4604</v>
      </c>
      <c r="C1935" s="8" t="s">
        <v>4552</v>
      </c>
      <c r="D1935" s="8" t="s">
        <v>4603</v>
      </c>
      <c r="E1935" s="8" t="s">
        <v>1707</v>
      </c>
      <c r="F1935" s="8" t="s">
        <v>16</v>
      </c>
      <c r="G1935" s="8" t="s">
        <v>310</v>
      </c>
      <c r="H1935" s="8"/>
      <c r="I1935" s="9" t="n">
        <v>40330</v>
      </c>
      <c r="J1935" s="8" t="s">
        <v>19</v>
      </c>
      <c r="K1935" s="8"/>
    </row>
    <row r="1936" customFormat="false" ht="12.8" hidden="false" customHeight="false" outlineLevel="0" collapsed="false">
      <c r="A1936" s="6" t="str">
        <f aca="false">HYPERLINK("https://www.fabsurplus.com/sdi_catalog/salesItemDetails.do?id=97715")</f>
        <v>https://www.fabsurplus.com/sdi_catalog/salesItemDetails.do?id=97715</v>
      </c>
      <c r="B1936" s="6" t="s">
        <v>4605</v>
      </c>
      <c r="C1936" s="6" t="s">
        <v>4552</v>
      </c>
      <c r="D1936" s="6" t="s">
        <v>4603</v>
      </c>
      <c r="E1936" s="6" t="s">
        <v>1707</v>
      </c>
      <c r="F1936" s="6" t="s">
        <v>16</v>
      </c>
      <c r="G1936" s="6" t="s">
        <v>310</v>
      </c>
      <c r="H1936" s="6"/>
      <c r="I1936" s="7" t="n">
        <v>40330</v>
      </c>
      <c r="J1936" s="6" t="s">
        <v>19</v>
      </c>
      <c r="K1936" s="6"/>
    </row>
    <row r="1937" customFormat="false" ht="12.8" hidden="false" customHeight="false" outlineLevel="0" collapsed="false">
      <c r="A1937" s="8" t="str">
        <f aca="false">HYPERLINK("https://www.fabsurplus.com/sdi_catalog/salesItemDetails.do?id=100053")</f>
        <v>https://www.fabsurplus.com/sdi_catalog/salesItemDetails.do?id=100053</v>
      </c>
      <c r="B1937" s="8" t="s">
        <v>4606</v>
      </c>
      <c r="C1937" s="8" t="s">
        <v>4607</v>
      </c>
      <c r="D1937" s="8" t="s">
        <v>4608</v>
      </c>
      <c r="E1937" s="8" t="s">
        <v>4609</v>
      </c>
      <c r="F1937" s="8" t="s">
        <v>16</v>
      </c>
      <c r="G1937" s="8" t="s">
        <v>2132</v>
      </c>
      <c r="H1937" s="8" t="s">
        <v>18</v>
      </c>
      <c r="I1937" s="9" t="n">
        <v>32509</v>
      </c>
      <c r="J1937" s="8" t="s">
        <v>19</v>
      </c>
      <c r="K1937" s="8" t="s">
        <v>20</v>
      </c>
    </row>
    <row r="1938" customFormat="false" ht="12.8" hidden="false" customHeight="false" outlineLevel="0" collapsed="false">
      <c r="A1938" s="6" t="str">
        <f aca="false">HYPERLINK("https://www.fabsurplus.com/sdi_catalog/salesItemDetails.do?id=96999")</f>
        <v>https://www.fabsurplus.com/sdi_catalog/salesItemDetails.do?id=96999</v>
      </c>
      <c r="B1938" s="6" t="s">
        <v>4610</v>
      </c>
      <c r="C1938" s="6" t="s">
        <v>4607</v>
      </c>
      <c r="D1938" s="6" t="s">
        <v>4611</v>
      </c>
      <c r="E1938" s="6" t="s">
        <v>1700</v>
      </c>
      <c r="F1938" s="6" t="s">
        <v>16</v>
      </c>
      <c r="G1938" s="6" t="s">
        <v>32</v>
      </c>
      <c r="H1938" s="6" t="s">
        <v>18</v>
      </c>
      <c r="I1938" s="6"/>
      <c r="J1938" s="6" t="s">
        <v>19</v>
      </c>
      <c r="K1938" s="6" t="s">
        <v>20</v>
      </c>
    </row>
    <row r="1939" customFormat="false" ht="12.8" hidden="false" customHeight="false" outlineLevel="0" collapsed="false">
      <c r="A1939" s="8" t="str">
        <f aca="false">HYPERLINK("https://www.fabsurplus.com/sdi_catalog/salesItemDetails.do?id=100342")</f>
        <v>https://www.fabsurplus.com/sdi_catalog/salesItemDetails.do?id=100342</v>
      </c>
      <c r="B1939" s="8" t="s">
        <v>4612</v>
      </c>
      <c r="C1939" s="8" t="s">
        <v>4607</v>
      </c>
      <c r="D1939" s="8" t="s">
        <v>4613</v>
      </c>
      <c r="E1939" s="8" t="s">
        <v>4614</v>
      </c>
      <c r="F1939" s="8" t="s">
        <v>16</v>
      </c>
      <c r="G1939" s="8" t="s">
        <v>310</v>
      </c>
      <c r="H1939" s="8" t="s">
        <v>33</v>
      </c>
      <c r="I1939" s="8"/>
      <c r="J1939" s="8" t="s">
        <v>19</v>
      </c>
      <c r="K1939" s="8" t="s">
        <v>20</v>
      </c>
    </row>
    <row r="1940" customFormat="false" ht="12.8" hidden="false" customHeight="false" outlineLevel="0" collapsed="false">
      <c r="A1940" s="6" t="str">
        <f aca="false">HYPERLINK("https://www.fabsurplus.com/sdi_catalog/salesItemDetails.do?id=97002")</f>
        <v>https://www.fabsurplus.com/sdi_catalog/salesItemDetails.do?id=97002</v>
      </c>
      <c r="B1940" s="6" t="s">
        <v>4615</v>
      </c>
      <c r="C1940" s="6" t="s">
        <v>4607</v>
      </c>
      <c r="D1940" s="6" t="s">
        <v>4616</v>
      </c>
      <c r="E1940" s="6" t="s">
        <v>4617</v>
      </c>
      <c r="F1940" s="6" t="s">
        <v>16</v>
      </c>
      <c r="G1940" s="6" t="s">
        <v>32</v>
      </c>
      <c r="H1940" s="6" t="s">
        <v>18</v>
      </c>
      <c r="I1940" s="7" t="n">
        <v>35947</v>
      </c>
      <c r="J1940" s="6" t="s">
        <v>19</v>
      </c>
      <c r="K1940" s="6" t="s">
        <v>20</v>
      </c>
    </row>
    <row r="1941" customFormat="false" ht="12.8" hidden="false" customHeight="false" outlineLevel="0" collapsed="false">
      <c r="A1941" s="8" t="str">
        <f aca="false">HYPERLINK("https://www.fabsurplus.com/sdi_catalog/salesItemDetails.do?id=97000")</f>
        <v>https://www.fabsurplus.com/sdi_catalog/salesItemDetails.do?id=97000</v>
      </c>
      <c r="B1941" s="8" t="s">
        <v>4618</v>
      </c>
      <c r="C1941" s="8" t="s">
        <v>4607</v>
      </c>
      <c r="D1941" s="8" t="s">
        <v>4616</v>
      </c>
      <c r="E1941" s="8" t="s">
        <v>4617</v>
      </c>
      <c r="F1941" s="8" t="s">
        <v>16</v>
      </c>
      <c r="G1941" s="8" t="s">
        <v>32</v>
      </c>
      <c r="H1941" s="8" t="s">
        <v>18</v>
      </c>
      <c r="I1941" s="9" t="n">
        <v>37043</v>
      </c>
      <c r="J1941" s="8" t="s">
        <v>19</v>
      </c>
      <c r="K1941" s="8" t="s">
        <v>20</v>
      </c>
    </row>
    <row r="1942" customFormat="false" ht="12.8" hidden="false" customHeight="false" outlineLevel="0" collapsed="false">
      <c r="A1942" s="6" t="str">
        <f aca="false">HYPERLINK("https://www.fabsurplus.com/sdi_catalog/salesItemDetails.do?id=97899")</f>
        <v>https://www.fabsurplus.com/sdi_catalog/salesItemDetails.do?id=97899</v>
      </c>
      <c r="B1942" s="6" t="s">
        <v>4619</v>
      </c>
      <c r="C1942" s="6" t="s">
        <v>4620</v>
      </c>
      <c r="D1942" s="6" t="s">
        <v>4621</v>
      </c>
      <c r="E1942" s="6" t="s">
        <v>4622</v>
      </c>
      <c r="F1942" s="6" t="s">
        <v>16</v>
      </c>
      <c r="G1942" s="6"/>
      <c r="H1942" s="6"/>
      <c r="I1942" s="7" t="n">
        <v>40695</v>
      </c>
      <c r="J1942" s="6" t="s">
        <v>19</v>
      </c>
      <c r="K1942" s="6"/>
    </row>
    <row r="1943" customFormat="false" ht="12.8" hidden="false" customHeight="false" outlineLevel="0" collapsed="false">
      <c r="A1943" s="8" t="str">
        <f aca="false">HYPERLINK("https://www.fabsurplus.com/sdi_catalog/salesItemDetails.do?id=97898")</f>
        <v>https://www.fabsurplus.com/sdi_catalog/salesItemDetails.do?id=97898</v>
      </c>
      <c r="B1943" s="8" t="s">
        <v>4623</v>
      </c>
      <c r="C1943" s="8" t="s">
        <v>4620</v>
      </c>
      <c r="D1943" s="8" t="s">
        <v>4624</v>
      </c>
      <c r="E1943" s="8" t="s">
        <v>4625</v>
      </c>
      <c r="F1943" s="8" t="s">
        <v>626</v>
      </c>
      <c r="G1943" s="8"/>
      <c r="H1943" s="8"/>
      <c r="I1943" s="8"/>
      <c r="J1943" s="8" t="s">
        <v>19</v>
      </c>
      <c r="K1943" s="8"/>
    </row>
    <row r="1944" customFormat="false" ht="12.8" hidden="false" customHeight="false" outlineLevel="0" collapsed="false">
      <c r="A1944" s="8" t="str">
        <f aca="false">HYPERLINK("https://www.fabsurplus.com/sdi_catalog/salesItemDetails.do?id=98169")</f>
        <v>https://www.fabsurplus.com/sdi_catalog/salesItemDetails.do?id=98169</v>
      </c>
      <c r="B1944" s="8" t="s">
        <v>4626</v>
      </c>
      <c r="C1944" s="8" t="s">
        <v>4627</v>
      </c>
      <c r="D1944" s="8" t="s">
        <v>4628</v>
      </c>
      <c r="E1944" s="8" t="s">
        <v>4629</v>
      </c>
      <c r="F1944" s="8" t="s">
        <v>16</v>
      </c>
      <c r="G1944" s="8" t="s">
        <v>4630</v>
      </c>
      <c r="H1944" s="8"/>
      <c r="I1944" s="9" t="n">
        <v>42887</v>
      </c>
      <c r="J1944" s="8" t="s">
        <v>19</v>
      </c>
      <c r="K1944" s="8"/>
    </row>
    <row r="1945" customFormat="false" ht="12.8" hidden="false" customHeight="false" outlineLevel="0" collapsed="false">
      <c r="A1945" s="8" t="str">
        <f aca="false">HYPERLINK("https://www.fabsurplus.com/sdi_catalog/salesItemDetails.do?id=99961")</f>
        <v>https://www.fabsurplus.com/sdi_catalog/salesItemDetails.do?id=99961</v>
      </c>
      <c r="B1945" s="8" t="s">
        <v>4631</v>
      </c>
      <c r="C1945" s="8" t="s">
        <v>4632</v>
      </c>
      <c r="D1945" s="8" t="s">
        <v>4633</v>
      </c>
      <c r="E1945" s="8" t="s">
        <v>4634</v>
      </c>
      <c r="F1945" s="8" t="s">
        <v>16</v>
      </c>
      <c r="G1945" s="8"/>
      <c r="H1945" s="8" t="s">
        <v>33</v>
      </c>
      <c r="I1945" s="9" t="n">
        <v>34455</v>
      </c>
      <c r="J1945" s="8" t="s">
        <v>19</v>
      </c>
      <c r="K1945" s="8" t="s">
        <v>20</v>
      </c>
    </row>
    <row r="1946" customFormat="false" ht="12.8" hidden="false" customHeight="false" outlineLevel="0" collapsed="false">
      <c r="A1946" s="6" t="str">
        <f aca="false">HYPERLINK("https://www.fabsurplus.com/sdi_catalog/salesItemDetails.do?id=99956")</f>
        <v>https://www.fabsurplus.com/sdi_catalog/salesItemDetails.do?id=99956</v>
      </c>
      <c r="B1946" s="6" t="s">
        <v>4635</v>
      </c>
      <c r="C1946" s="6" t="s">
        <v>4632</v>
      </c>
      <c r="D1946" s="6" t="s">
        <v>4633</v>
      </c>
      <c r="E1946" s="6" t="s">
        <v>2487</v>
      </c>
      <c r="F1946" s="6" t="s">
        <v>16</v>
      </c>
      <c r="G1946" s="6" t="s">
        <v>372</v>
      </c>
      <c r="H1946" s="6" t="s">
        <v>18</v>
      </c>
      <c r="I1946" s="7" t="n">
        <v>34851</v>
      </c>
      <c r="J1946" s="6" t="s">
        <v>19</v>
      </c>
      <c r="K1946" s="6" t="s">
        <v>20</v>
      </c>
    </row>
    <row r="1947" customFormat="false" ht="12.8" hidden="false" customHeight="false" outlineLevel="0" collapsed="false">
      <c r="A1947" s="8" t="str">
        <f aca="false">HYPERLINK("https://www.fabsurplus.com/sdi_catalog/salesItemDetails.do?id=99955")</f>
        <v>https://www.fabsurplus.com/sdi_catalog/salesItemDetails.do?id=99955</v>
      </c>
      <c r="B1947" s="8" t="s">
        <v>4636</v>
      </c>
      <c r="C1947" s="8" t="s">
        <v>4632</v>
      </c>
      <c r="D1947" s="8" t="s">
        <v>4633</v>
      </c>
      <c r="E1947" s="8" t="s">
        <v>2487</v>
      </c>
      <c r="F1947" s="8" t="s">
        <v>16</v>
      </c>
      <c r="G1947" s="8" t="s">
        <v>372</v>
      </c>
      <c r="H1947" s="8" t="s">
        <v>18</v>
      </c>
      <c r="I1947" s="9" t="n">
        <v>34851</v>
      </c>
      <c r="J1947" s="8" t="s">
        <v>19</v>
      </c>
      <c r="K1947" s="8" t="s">
        <v>20</v>
      </c>
    </row>
    <row r="1948" customFormat="false" ht="12.8" hidden="false" customHeight="false" outlineLevel="0" collapsed="false">
      <c r="A1948" s="6" t="str">
        <f aca="false">HYPERLINK("https://www.fabsurplus.com/sdi_catalog/salesItemDetails.do?id=100353")</f>
        <v>https://www.fabsurplus.com/sdi_catalog/salesItemDetails.do?id=100353</v>
      </c>
      <c r="B1948" s="6" t="s">
        <v>4637</v>
      </c>
      <c r="C1948" s="6" t="s">
        <v>4638</v>
      </c>
      <c r="D1948" s="6" t="s">
        <v>4639</v>
      </c>
      <c r="E1948" s="6" t="s">
        <v>4640</v>
      </c>
      <c r="F1948" s="6" t="s">
        <v>626</v>
      </c>
      <c r="G1948" s="6"/>
      <c r="H1948" s="6" t="s">
        <v>18</v>
      </c>
      <c r="I1948" s="6"/>
      <c r="J1948" s="6" t="s">
        <v>19</v>
      </c>
      <c r="K1948" s="6"/>
    </row>
    <row r="1949" customFormat="false" ht="12.8" hidden="false" customHeight="false" outlineLevel="0" collapsed="false">
      <c r="A1949" s="8" t="str">
        <f aca="false">HYPERLINK("https://www.fabsurplus.com/sdi_catalog/salesItemDetails.do?id=100352")</f>
        <v>https://www.fabsurplus.com/sdi_catalog/salesItemDetails.do?id=100352</v>
      </c>
      <c r="B1949" s="8" t="s">
        <v>4641</v>
      </c>
      <c r="C1949" s="8" t="s">
        <v>4638</v>
      </c>
      <c r="D1949" s="8" t="s">
        <v>4642</v>
      </c>
      <c r="E1949" s="8" t="s">
        <v>4643</v>
      </c>
      <c r="F1949" s="8" t="s">
        <v>611</v>
      </c>
      <c r="G1949" s="8"/>
      <c r="H1949" s="8" t="s">
        <v>18</v>
      </c>
      <c r="I1949" s="8"/>
      <c r="J1949" s="8" t="s">
        <v>19</v>
      </c>
      <c r="K1949" s="8"/>
    </row>
    <row r="1950" customFormat="false" ht="12.8" hidden="false" customHeight="false" outlineLevel="0" collapsed="false">
      <c r="A1950" s="8" t="str">
        <f aca="false">HYPERLINK("https://www.fabsurplus.com/sdi_catalog/salesItemDetails.do?id=100354")</f>
        <v>https://www.fabsurplus.com/sdi_catalog/salesItemDetails.do?id=100354</v>
      </c>
      <c r="B1950" s="8" t="s">
        <v>4644</v>
      </c>
      <c r="C1950" s="8" t="s">
        <v>4638</v>
      </c>
      <c r="D1950" s="8" t="s">
        <v>4645</v>
      </c>
      <c r="E1950" s="8" t="s">
        <v>4646</v>
      </c>
      <c r="F1950" s="8" t="s">
        <v>16</v>
      </c>
      <c r="G1950" s="8"/>
      <c r="H1950" s="8" t="s">
        <v>18</v>
      </c>
      <c r="I1950" s="8"/>
      <c r="J1950" s="8" t="s">
        <v>19</v>
      </c>
      <c r="K1950" s="8"/>
    </row>
    <row r="1951" customFormat="false" ht="12.8" hidden="false" customHeight="false" outlineLevel="0" collapsed="false">
      <c r="A1951" s="6" t="str">
        <f aca="false">HYPERLINK("https://www.fabsurplus.com/sdi_catalog/salesItemDetails.do?id=100361")</f>
        <v>https://www.fabsurplus.com/sdi_catalog/salesItemDetails.do?id=100361</v>
      </c>
      <c r="B1951" s="6" t="s">
        <v>4647</v>
      </c>
      <c r="C1951" s="6" t="s">
        <v>4638</v>
      </c>
      <c r="D1951" s="6" t="s">
        <v>4648</v>
      </c>
      <c r="E1951" s="6" t="s">
        <v>4649</v>
      </c>
      <c r="F1951" s="6" t="s">
        <v>611</v>
      </c>
      <c r="G1951" s="6"/>
      <c r="H1951" s="6" t="s">
        <v>18</v>
      </c>
      <c r="I1951" s="7" t="n">
        <v>40695</v>
      </c>
      <c r="J1951" s="6" t="s">
        <v>19</v>
      </c>
      <c r="K1951" s="6"/>
    </row>
    <row r="1952" customFormat="false" ht="12.8" hidden="false" customHeight="false" outlineLevel="0" collapsed="false">
      <c r="A1952" s="8" t="str">
        <f aca="false">HYPERLINK("https://www.fabsurplus.com/sdi_catalog/salesItemDetails.do?id=100679")</f>
        <v>https://www.fabsurplus.com/sdi_catalog/salesItemDetails.do?id=100679</v>
      </c>
      <c r="B1952" s="8" t="s">
        <v>4650</v>
      </c>
      <c r="C1952" s="8" t="s">
        <v>4651</v>
      </c>
      <c r="D1952" s="8" t="s">
        <v>4652</v>
      </c>
      <c r="E1952" s="8" t="s">
        <v>4653</v>
      </c>
      <c r="F1952" s="8" t="s">
        <v>611</v>
      </c>
      <c r="G1952" s="8" t="s">
        <v>4042</v>
      </c>
      <c r="H1952" s="8"/>
      <c r="I1952" s="8"/>
      <c r="J1952" s="8" t="s">
        <v>19</v>
      </c>
      <c r="K1952" s="8"/>
    </row>
    <row r="1953" customFormat="false" ht="12.8" hidden="false" customHeight="false" outlineLevel="0" collapsed="false">
      <c r="A1953" s="6" t="str">
        <f aca="false">HYPERLINK("https://www.fabsurplus.com/sdi_catalog/salesItemDetails.do?id=98531")</f>
        <v>https://www.fabsurplus.com/sdi_catalog/salesItemDetails.do?id=98531</v>
      </c>
      <c r="B1953" s="6" t="s">
        <v>4654</v>
      </c>
      <c r="C1953" s="6" t="s">
        <v>4651</v>
      </c>
      <c r="D1953" s="6" t="s">
        <v>4655</v>
      </c>
      <c r="E1953" s="6" t="s">
        <v>4045</v>
      </c>
      <c r="F1953" s="6" t="s">
        <v>16</v>
      </c>
      <c r="G1953" s="6" t="s">
        <v>328</v>
      </c>
      <c r="H1953" s="6"/>
      <c r="I1953" s="6"/>
      <c r="J1953" s="6" t="s">
        <v>19</v>
      </c>
      <c r="K1953" s="6"/>
    </row>
    <row r="1954" customFormat="false" ht="12.8" hidden="false" customHeight="false" outlineLevel="0" collapsed="false">
      <c r="A1954" s="6" t="str">
        <f aca="false">HYPERLINK("https://www.fabsurplus.com/sdi_catalog/salesItemDetails.do?id=98418")</f>
        <v>https://www.fabsurplus.com/sdi_catalog/salesItemDetails.do?id=98418</v>
      </c>
      <c r="B1954" s="6" t="s">
        <v>4656</v>
      </c>
      <c r="C1954" s="6" t="s">
        <v>4651</v>
      </c>
      <c r="D1954" s="6" t="s">
        <v>4655</v>
      </c>
      <c r="E1954" s="6" t="s">
        <v>4045</v>
      </c>
      <c r="F1954" s="6" t="s">
        <v>16</v>
      </c>
      <c r="G1954" s="6" t="s">
        <v>372</v>
      </c>
      <c r="H1954" s="6"/>
      <c r="I1954" s="6"/>
      <c r="J1954" s="6" t="s">
        <v>19</v>
      </c>
      <c r="K1954" s="6"/>
    </row>
    <row r="1955" customFormat="false" ht="12.8" hidden="false" customHeight="false" outlineLevel="0" collapsed="false">
      <c r="A1955" s="6" t="str">
        <f aca="false">HYPERLINK("https://www.fabsurplus.com/sdi_catalog/salesItemDetails.do?id=100740")</f>
        <v>https://www.fabsurplus.com/sdi_catalog/salesItemDetails.do?id=100740</v>
      </c>
      <c r="B1955" s="6" t="s">
        <v>4657</v>
      </c>
      <c r="C1955" s="6" t="s">
        <v>4651</v>
      </c>
      <c r="D1955" s="6" t="s">
        <v>4658</v>
      </c>
      <c r="E1955" s="6" t="s">
        <v>4045</v>
      </c>
      <c r="F1955" s="6" t="s">
        <v>16</v>
      </c>
      <c r="G1955" s="6"/>
      <c r="H1955" s="6"/>
      <c r="I1955" s="6"/>
      <c r="J1955" s="6" t="s">
        <v>19</v>
      </c>
      <c r="K1955" s="6"/>
    </row>
    <row r="1956" customFormat="false" ht="12.8" hidden="false" customHeight="false" outlineLevel="0" collapsed="false">
      <c r="A1956" s="8" t="str">
        <f aca="false">HYPERLINK("https://www.fabsurplus.com/sdi_catalog/salesItemDetails.do?id=100741")</f>
        <v>https://www.fabsurplus.com/sdi_catalog/salesItemDetails.do?id=100741</v>
      </c>
      <c r="B1956" s="8" t="s">
        <v>4659</v>
      </c>
      <c r="C1956" s="8" t="s">
        <v>4651</v>
      </c>
      <c r="D1956" s="8" t="s">
        <v>4660</v>
      </c>
      <c r="E1956" s="8" t="s">
        <v>4045</v>
      </c>
      <c r="F1956" s="8" t="s">
        <v>16</v>
      </c>
      <c r="G1956" s="8"/>
      <c r="H1956" s="8"/>
      <c r="I1956" s="8"/>
      <c r="J1956" s="8" t="s">
        <v>19</v>
      </c>
      <c r="K1956" s="8"/>
    </row>
    <row r="1957" customFormat="false" ht="12.8" hidden="false" customHeight="false" outlineLevel="0" collapsed="false">
      <c r="A1957" s="8" t="str">
        <f aca="false">HYPERLINK("https://www.fabsurplus.com/sdi_catalog/salesItemDetails.do?id=98616")</f>
        <v>https://www.fabsurplus.com/sdi_catalog/salesItemDetails.do?id=98616</v>
      </c>
      <c r="B1957" s="8" t="s">
        <v>4661</v>
      </c>
      <c r="C1957" s="8" t="s">
        <v>4662</v>
      </c>
      <c r="D1957" s="8" t="s">
        <v>4663</v>
      </c>
      <c r="E1957" s="8" t="s">
        <v>4664</v>
      </c>
      <c r="F1957" s="8" t="s">
        <v>16</v>
      </c>
      <c r="G1957" s="8" t="s">
        <v>1851</v>
      </c>
      <c r="H1957" s="8"/>
      <c r="I1957" s="8"/>
      <c r="J1957" s="8" t="s">
        <v>19</v>
      </c>
      <c r="K1957" s="8"/>
    </row>
    <row r="1958" customFormat="false" ht="12.8" hidden="false" customHeight="false" outlineLevel="0" collapsed="false">
      <c r="A1958" s="8" t="str">
        <f aca="false">HYPERLINK("https://www.fabsurplus.com/sdi_catalog/salesItemDetails.do?id=100743")</f>
        <v>https://www.fabsurplus.com/sdi_catalog/salesItemDetails.do?id=100743</v>
      </c>
      <c r="B1958" s="8" t="s">
        <v>4665</v>
      </c>
      <c r="C1958" s="8" t="s">
        <v>4651</v>
      </c>
      <c r="D1958" s="8" t="s">
        <v>4666</v>
      </c>
      <c r="E1958" s="8" t="s">
        <v>4045</v>
      </c>
      <c r="F1958" s="8" t="s">
        <v>16</v>
      </c>
      <c r="G1958" s="8"/>
      <c r="H1958" s="8"/>
      <c r="I1958" s="8"/>
      <c r="J1958" s="8" t="s">
        <v>19</v>
      </c>
      <c r="K1958" s="8"/>
    </row>
    <row r="1959" customFormat="false" ht="12.8" hidden="false" customHeight="false" outlineLevel="0" collapsed="false">
      <c r="A1959" s="6" t="str">
        <f aca="false">HYPERLINK("https://www.fabsurplus.com/sdi_catalog/salesItemDetails.do?id=100742")</f>
        <v>https://www.fabsurplus.com/sdi_catalog/salesItemDetails.do?id=100742</v>
      </c>
      <c r="B1959" s="6" t="s">
        <v>4667</v>
      </c>
      <c r="C1959" s="6" t="s">
        <v>4651</v>
      </c>
      <c r="D1959" s="6" t="s">
        <v>4666</v>
      </c>
      <c r="E1959" s="6" t="s">
        <v>4668</v>
      </c>
      <c r="F1959" s="6" t="s">
        <v>16</v>
      </c>
      <c r="G1959" s="6"/>
      <c r="H1959" s="6"/>
      <c r="I1959" s="6"/>
      <c r="J1959" s="6" t="s">
        <v>19</v>
      </c>
      <c r="K1959" s="6"/>
    </row>
    <row r="1960" customFormat="false" ht="12.8" hidden="false" customHeight="false" outlineLevel="0" collapsed="false">
      <c r="A1960" s="8" t="str">
        <f aca="false">HYPERLINK("https://www.fabsurplus.com/sdi_catalog/salesItemDetails.do?id=98487")</f>
        <v>https://www.fabsurplus.com/sdi_catalog/salesItemDetails.do?id=98487</v>
      </c>
      <c r="B1960" s="8" t="s">
        <v>4669</v>
      </c>
      <c r="C1960" s="8" t="s">
        <v>4651</v>
      </c>
      <c r="D1960" s="8" t="s">
        <v>4670</v>
      </c>
      <c r="E1960" s="8" t="s">
        <v>4045</v>
      </c>
      <c r="F1960" s="8" t="s">
        <v>16</v>
      </c>
      <c r="G1960" s="8" t="s">
        <v>4432</v>
      </c>
      <c r="H1960" s="8"/>
      <c r="I1960" s="8"/>
      <c r="J1960" s="8" t="s">
        <v>19</v>
      </c>
      <c r="K1960" s="8"/>
    </row>
    <row r="1961" customFormat="false" ht="12.8" hidden="false" customHeight="false" outlineLevel="0" collapsed="false">
      <c r="A1961" s="6" t="str">
        <f aca="false">HYPERLINK("https://www.fabsurplus.com/sdi_catalog/salesItemDetails.do?id=98488")</f>
        <v>https://www.fabsurplus.com/sdi_catalog/salesItemDetails.do?id=98488</v>
      </c>
      <c r="B1961" s="6" t="s">
        <v>4671</v>
      </c>
      <c r="C1961" s="6" t="s">
        <v>4651</v>
      </c>
      <c r="D1961" s="6" t="s">
        <v>4672</v>
      </c>
      <c r="E1961" s="6" t="s">
        <v>4045</v>
      </c>
      <c r="F1961" s="6" t="s">
        <v>16</v>
      </c>
      <c r="G1961" s="6" t="s">
        <v>4432</v>
      </c>
      <c r="H1961" s="6"/>
      <c r="I1961" s="6"/>
      <c r="J1961" s="6" t="s">
        <v>19</v>
      </c>
      <c r="K1961" s="6"/>
    </row>
    <row r="1962" customFormat="false" ht="12.8" hidden="false" customHeight="false" outlineLevel="0" collapsed="false">
      <c r="A1962" s="6" t="str">
        <f aca="false">HYPERLINK("https://www.fabsurplus.com/sdi_catalog/salesItemDetails.do?id=98008")</f>
        <v>https://www.fabsurplus.com/sdi_catalog/salesItemDetails.do?id=98008</v>
      </c>
      <c r="B1962" s="6" t="s">
        <v>4673</v>
      </c>
      <c r="C1962" s="6" t="s">
        <v>4662</v>
      </c>
      <c r="D1962" s="6" t="s">
        <v>4674</v>
      </c>
      <c r="E1962" s="6" t="s">
        <v>4675</v>
      </c>
      <c r="F1962" s="6" t="s">
        <v>16</v>
      </c>
      <c r="G1962" s="6"/>
      <c r="H1962" s="6"/>
      <c r="I1962" s="7" t="n">
        <v>40695</v>
      </c>
      <c r="J1962" s="6" t="s">
        <v>19</v>
      </c>
      <c r="K1962" s="6"/>
    </row>
    <row r="1963" customFormat="false" ht="12.8" hidden="false" customHeight="false" outlineLevel="0" collapsed="false">
      <c r="A1963" s="8" t="str">
        <f aca="false">HYPERLINK("https://www.fabsurplus.com/sdi_catalog/salesItemDetails.do?id=100040")</f>
        <v>https://www.fabsurplus.com/sdi_catalog/salesItemDetails.do?id=100040</v>
      </c>
      <c r="B1963" s="8" t="s">
        <v>4676</v>
      </c>
      <c r="C1963" s="8" t="s">
        <v>4651</v>
      </c>
      <c r="D1963" s="8" t="s">
        <v>4677</v>
      </c>
      <c r="E1963" s="8" t="s">
        <v>4678</v>
      </c>
      <c r="F1963" s="8" t="s">
        <v>16</v>
      </c>
      <c r="G1963" s="8"/>
      <c r="H1963" s="8"/>
      <c r="I1963" s="8"/>
      <c r="J1963" s="8" t="s">
        <v>19</v>
      </c>
      <c r="K1963" s="8"/>
    </row>
    <row r="1964" customFormat="false" ht="12.8" hidden="false" customHeight="false" outlineLevel="0" collapsed="false">
      <c r="A1964" s="6" t="str">
        <f aca="false">HYPERLINK("https://www.fabsurplus.com/sdi_catalog/salesItemDetails.do?id=97957")</f>
        <v>https://www.fabsurplus.com/sdi_catalog/salesItemDetails.do?id=97957</v>
      </c>
      <c r="B1964" s="6" t="s">
        <v>4679</v>
      </c>
      <c r="C1964" s="6" t="s">
        <v>4662</v>
      </c>
      <c r="D1964" s="6" t="s">
        <v>4677</v>
      </c>
      <c r="E1964" s="6" t="s">
        <v>4042</v>
      </c>
      <c r="F1964" s="6" t="s">
        <v>16</v>
      </c>
      <c r="G1964" s="6" t="s">
        <v>1851</v>
      </c>
      <c r="H1964" s="6"/>
      <c r="I1964" s="6"/>
      <c r="J1964" s="6" t="s">
        <v>81</v>
      </c>
      <c r="K1964" s="6"/>
    </row>
    <row r="1965" customFormat="false" ht="12.8" hidden="false" customHeight="false" outlineLevel="0" collapsed="false">
      <c r="A1965" s="6" t="str">
        <f aca="false">HYPERLINK("https://www.fabsurplus.com/sdi_catalog/salesItemDetails.do?id=98970")</f>
        <v>https://www.fabsurplus.com/sdi_catalog/salesItemDetails.do?id=98970</v>
      </c>
      <c r="B1965" s="6" t="s">
        <v>4680</v>
      </c>
      <c r="C1965" s="6" t="s">
        <v>4651</v>
      </c>
      <c r="D1965" s="6" t="s">
        <v>4681</v>
      </c>
      <c r="E1965" s="6" t="s">
        <v>4682</v>
      </c>
      <c r="F1965" s="6" t="s">
        <v>16</v>
      </c>
      <c r="G1965" s="6" t="s">
        <v>310</v>
      </c>
      <c r="H1965" s="6"/>
      <c r="I1965" s="7" t="n">
        <v>37773</v>
      </c>
      <c r="J1965" s="6" t="s">
        <v>19</v>
      </c>
      <c r="K1965" s="6"/>
    </row>
    <row r="1966" customFormat="false" ht="12.8" hidden="false" customHeight="false" outlineLevel="0" collapsed="false">
      <c r="A1966" s="6" t="str">
        <f aca="false">HYPERLINK("https://www.fabsurplus.com/sdi_catalog/salesItemDetails.do?id=98617")</f>
        <v>https://www.fabsurplus.com/sdi_catalog/salesItemDetails.do?id=98617</v>
      </c>
      <c r="B1966" s="6" t="s">
        <v>4683</v>
      </c>
      <c r="C1966" s="6" t="s">
        <v>4662</v>
      </c>
      <c r="D1966" s="6" t="s">
        <v>4514</v>
      </c>
      <c r="E1966" s="6" t="s">
        <v>4684</v>
      </c>
      <c r="F1966" s="6" t="s">
        <v>16</v>
      </c>
      <c r="G1966" s="6" t="s">
        <v>1851</v>
      </c>
      <c r="H1966" s="6"/>
      <c r="I1966" s="6"/>
      <c r="J1966" s="6" t="s">
        <v>19</v>
      </c>
      <c r="K1966" s="6"/>
    </row>
    <row r="1967" customFormat="false" ht="12.8" hidden="false" customHeight="false" outlineLevel="0" collapsed="false">
      <c r="A1967" s="6" t="str">
        <f aca="false">HYPERLINK("https://www.fabsurplus.com/sdi_catalog/salesItemDetails.do?id=97870")</f>
        <v>https://www.fabsurplus.com/sdi_catalog/salesItemDetails.do?id=97870</v>
      </c>
      <c r="B1967" s="6" t="s">
        <v>4685</v>
      </c>
      <c r="C1967" s="6" t="s">
        <v>4651</v>
      </c>
      <c r="D1967" s="6" t="s">
        <v>4686</v>
      </c>
      <c r="E1967" s="6" t="s">
        <v>4045</v>
      </c>
      <c r="F1967" s="6" t="s">
        <v>16</v>
      </c>
      <c r="G1967" s="6"/>
      <c r="H1967" s="6"/>
      <c r="I1967" s="6"/>
      <c r="J1967" s="6" t="s">
        <v>19</v>
      </c>
      <c r="K1967" s="6"/>
    </row>
    <row r="1968" customFormat="false" ht="12.8" hidden="false" customHeight="false" outlineLevel="0" collapsed="false">
      <c r="A1968" s="8" t="str">
        <f aca="false">HYPERLINK("https://www.fabsurplus.com/sdi_catalog/salesItemDetails.do?id=97871")</f>
        <v>https://www.fabsurplus.com/sdi_catalog/salesItemDetails.do?id=97871</v>
      </c>
      <c r="B1968" s="8" t="s">
        <v>4687</v>
      </c>
      <c r="C1968" s="8" t="s">
        <v>4651</v>
      </c>
      <c r="D1968" s="8" t="s">
        <v>4688</v>
      </c>
      <c r="E1968" s="8" t="s">
        <v>4045</v>
      </c>
      <c r="F1968" s="8" t="s">
        <v>16</v>
      </c>
      <c r="G1968" s="8"/>
      <c r="H1968" s="8"/>
      <c r="I1968" s="8"/>
      <c r="J1968" s="8" t="s">
        <v>19</v>
      </c>
      <c r="K1968" s="8"/>
    </row>
    <row r="1969" customFormat="false" ht="12.8" hidden="false" customHeight="false" outlineLevel="0" collapsed="false">
      <c r="A1969" s="6" t="str">
        <f aca="false">HYPERLINK("https://www.fabsurplus.com/sdi_catalog/salesItemDetails.do?id=100041")</f>
        <v>https://www.fabsurplus.com/sdi_catalog/salesItemDetails.do?id=100041</v>
      </c>
      <c r="B1969" s="6" t="s">
        <v>4689</v>
      </c>
      <c r="C1969" s="6" t="s">
        <v>4651</v>
      </c>
      <c r="D1969" s="6" t="s">
        <v>4690</v>
      </c>
      <c r="E1969" s="6" t="s">
        <v>4684</v>
      </c>
      <c r="F1969" s="6" t="s">
        <v>16</v>
      </c>
      <c r="G1969" s="6"/>
      <c r="H1969" s="6"/>
      <c r="I1969" s="6"/>
      <c r="J1969" s="6" t="s">
        <v>19</v>
      </c>
      <c r="K1969" s="6"/>
    </row>
    <row r="1970" customFormat="false" ht="12.8" hidden="false" customHeight="false" outlineLevel="0" collapsed="false">
      <c r="A1970" s="6" t="str">
        <f aca="false">HYPERLINK("https://www.fabsurplus.com/sdi_catalog/salesItemDetails.do?id=98621")</f>
        <v>https://www.fabsurplus.com/sdi_catalog/salesItemDetails.do?id=98621</v>
      </c>
      <c r="B1970" s="6" t="s">
        <v>4691</v>
      </c>
      <c r="C1970" s="6" t="s">
        <v>4662</v>
      </c>
      <c r="D1970" s="6" t="s">
        <v>4692</v>
      </c>
      <c r="E1970" s="6" t="s">
        <v>4684</v>
      </c>
      <c r="F1970" s="6" t="s">
        <v>16</v>
      </c>
      <c r="G1970" s="6" t="s">
        <v>1851</v>
      </c>
      <c r="H1970" s="6"/>
      <c r="I1970" s="6"/>
      <c r="J1970" s="6" t="s">
        <v>19</v>
      </c>
      <c r="K1970" s="6"/>
    </row>
    <row r="1971" customFormat="false" ht="12.8" hidden="false" customHeight="false" outlineLevel="0" collapsed="false">
      <c r="A1971" s="8" t="str">
        <f aca="false">HYPERLINK("https://www.fabsurplus.com/sdi_catalog/salesItemDetails.do?id=98620")</f>
        <v>https://www.fabsurplus.com/sdi_catalog/salesItemDetails.do?id=98620</v>
      </c>
      <c r="B1971" s="8" t="s">
        <v>4693</v>
      </c>
      <c r="C1971" s="8" t="s">
        <v>4662</v>
      </c>
      <c r="D1971" s="8" t="s">
        <v>4692</v>
      </c>
      <c r="E1971" s="8" t="s">
        <v>4684</v>
      </c>
      <c r="F1971" s="8" t="s">
        <v>16</v>
      </c>
      <c r="G1971" s="8" t="s">
        <v>1851</v>
      </c>
      <c r="H1971" s="8"/>
      <c r="I1971" s="8"/>
      <c r="J1971" s="8" t="s">
        <v>19</v>
      </c>
      <c r="K1971" s="8"/>
    </row>
    <row r="1972" customFormat="false" ht="12.8" hidden="false" customHeight="false" outlineLevel="0" collapsed="false">
      <c r="A1972" s="6" t="str">
        <f aca="false">HYPERLINK("https://www.fabsurplus.com/sdi_catalog/salesItemDetails.do?id=98619")</f>
        <v>https://www.fabsurplus.com/sdi_catalog/salesItemDetails.do?id=98619</v>
      </c>
      <c r="B1972" s="6" t="s">
        <v>4694</v>
      </c>
      <c r="C1972" s="6" t="s">
        <v>4662</v>
      </c>
      <c r="D1972" s="6" t="s">
        <v>4692</v>
      </c>
      <c r="E1972" s="6" t="s">
        <v>4684</v>
      </c>
      <c r="F1972" s="6" t="s">
        <v>16</v>
      </c>
      <c r="G1972" s="6" t="s">
        <v>1851</v>
      </c>
      <c r="H1972" s="6"/>
      <c r="I1972" s="6"/>
      <c r="J1972" s="6" t="s">
        <v>19</v>
      </c>
      <c r="K1972" s="6"/>
    </row>
    <row r="1973" customFormat="false" ht="12.8" hidden="false" customHeight="false" outlineLevel="0" collapsed="false">
      <c r="A1973" s="6" t="str">
        <f aca="false">HYPERLINK("https://www.fabsurplus.com/sdi_catalog/salesItemDetails.do?id=97872")</f>
        <v>https://www.fabsurplus.com/sdi_catalog/salesItemDetails.do?id=97872</v>
      </c>
      <c r="B1973" s="6" t="s">
        <v>4695</v>
      </c>
      <c r="C1973" s="6" t="s">
        <v>4651</v>
      </c>
      <c r="D1973" s="6" t="s">
        <v>4692</v>
      </c>
      <c r="E1973" s="6" t="s">
        <v>4045</v>
      </c>
      <c r="F1973" s="6" t="s">
        <v>913</v>
      </c>
      <c r="G1973" s="6"/>
      <c r="H1973" s="6"/>
      <c r="I1973" s="6"/>
      <c r="J1973" s="6" t="s">
        <v>19</v>
      </c>
      <c r="K1973" s="6"/>
    </row>
    <row r="1974" customFormat="false" ht="12.8" hidden="false" customHeight="false" outlineLevel="0" collapsed="false">
      <c r="A1974" s="8" t="str">
        <f aca="false">HYPERLINK("https://www.fabsurplus.com/sdi_catalog/salesItemDetails.do?id=98618")</f>
        <v>https://www.fabsurplus.com/sdi_catalog/salesItemDetails.do?id=98618</v>
      </c>
      <c r="B1974" s="8" t="s">
        <v>4696</v>
      </c>
      <c r="C1974" s="8" t="s">
        <v>4662</v>
      </c>
      <c r="D1974" s="8" t="s">
        <v>4697</v>
      </c>
      <c r="E1974" s="8" t="s">
        <v>4684</v>
      </c>
      <c r="F1974" s="8" t="s">
        <v>16</v>
      </c>
      <c r="G1974" s="8" t="s">
        <v>1851</v>
      </c>
      <c r="H1974" s="8"/>
      <c r="I1974" s="8"/>
      <c r="J1974" s="8" t="s">
        <v>19</v>
      </c>
      <c r="K1974" s="8"/>
    </row>
    <row r="1975" customFormat="false" ht="12.8" hidden="false" customHeight="false" outlineLevel="0" collapsed="false">
      <c r="A1975" s="8" t="str">
        <f aca="false">HYPERLINK("https://www.fabsurplus.com/sdi_catalog/salesItemDetails.do?id=99280")</f>
        <v>https://www.fabsurplus.com/sdi_catalog/salesItemDetails.do?id=99280</v>
      </c>
      <c r="B1975" s="8" t="s">
        <v>4698</v>
      </c>
      <c r="C1975" s="8" t="s">
        <v>4699</v>
      </c>
      <c r="D1975" s="8" t="s">
        <v>4700</v>
      </c>
      <c r="E1975" s="8" t="s">
        <v>4491</v>
      </c>
      <c r="F1975" s="8" t="s">
        <v>16</v>
      </c>
      <c r="G1975" s="8"/>
      <c r="H1975" s="8" t="s">
        <v>18</v>
      </c>
      <c r="I1975" s="8"/>
      <c r="J1975" s="8"/>
      <c r="K1975" s="8"/>
    </row>
    <row r="1976" customFormat="false" ht="12.8" hidden="false" customHeight="false" outlineLevel="0" collapsed="false">
      <c r="A1976" s="8" t="str">
        <f aca="false">HYPERLINK("https://www.fabsurplus.com/sdi_catalog/salesItemDetails.do?id=100744")</f>
        <v>https://www.fabsurplus.com/sdi_catalog/salesItemDetails.do?id=100744</v>
      </c>
      <c r="B1976" s="8" t="s">
        <v>4701</v>
      </c>
      <c r="C1976" s="8" t="s">
        <v>4702</v>
      </c>
      <c r="D1976" s="8" t="s">
        <v>4703</v>
      </c>
      <c r="E1976" s="8" t="s">
        <v>4704</v>
      </c>
      <c r="F1976" s="8" t="s">
        <v>611</v>
      </c>
      <c r="G1976" s="8"/>
      <c r="H1976" s="8"/>
      <c r="I1976" s="8"/>
      <c r="J1976" s="8" t="s">
        <v>19</v>
      </c>
      <c r="K1976" s="8"/>
    </row>
    <row r="1977" customFormat="false" ht="12.8" hidden="false" customHeight="false" outlineLevel="0" collapsed="false">
      <c r="A1977" s="6" t="str">
        <f aca="false">HYPERLINK("https://www.fabsurplus.com/sdi_catalog/salesItemDetails.do?id=99332")</f>
        <v>https://www.fabsurplus.com/sdi_catalog/salesItemDetails.do?id=99332</v>
      </c>
      <c r="B1977" s="6" t="s">
        <v>4705</v>
      </c>
      <c r="C1977" s="6" t="s">
        <v>4706</v>
      </c>
      <c r="D1977" s="6" t="s">
        <v>4707</v>
      </c>
      <c r="E1977" s="6" t="s">
        <v>4708</v>
      </c>
      <c r="F1977" s="6" t="s">
        <v>16</v>
      </c>
      <c r="G1977" s="6" t="s">
        <v>434</v>
      </c>
      <c r="H1977" s="6" t="s">
        <v>33</v>
      </c>
      <c r="I1977" s="7" t="n">
        <v>40695</v>
      </c>
      <c r="J1977" s="6" t="s">
        <v>19</v>
      </c>
      <c r="K1977" s="6" t="s">
        <v>20</v>
      </c>
    </row>
    <row r="1978" customFormat="false" ht="12.8" hidden="false" customHeight="false" outlineLevel="0" collapsed="false">
      <c r="A1978" s="6" t="str">
        <f aca="false">HYPERLINK("https://www.fabsurplus.com/sdi_catalog/salesItemDetails.do?id=99340")</f>
        <v>https://www.fabsurplus.com/sdi_catalog/salesItemDetails.do?id=99340</v>
      </c>
      <c r="B1978" s="6" t="s">
        <v>4709</v>
      </c>
      <c r="C1978" s="6" t="s">
        <v>4710</v>
      </c>
      <c r="D1978" s="6" t="s">
        <v>4711</v>
      </c>
      <c r="E1978" s="6" t="s">
        <v>4712</v>
      </c>
      <c r="F1978" s="6" t="s">
        <v>611</v>
      </c>
      <c r="G1978" s="6" t="s">
        <v>328</v>
      </c>
      <c r="H1978" s="6" t="s">
        <v>33</v>
      </c>
      <c r="I1978" s="7" t="n">
        <v>37773</v>
      </c>
      <c r="J1978" s="6" t="s">
        <v>19</v>
      </c>
      <c r="K1978" s="6" t="s">
        <v>20</v>
      </c>
    </row>
    <row r="1979" customFormat="false" ht="12.8" hidden="false" customHeight="false" outlineLevel="0" collapsed="false">
      <c r="A1979" s="8" t="str">
        <f aca="false">HYPERLINK("https://www.fabsurplus.com/sdi_catalog/salesItemDetails.do?id=99339")</f>
        <v>https://www.fabsurplus.com/sdi_catalog/salesItemDetails.do?id=99339</v>
      </c>
      <c r="B1979" s="8" t="s">
        <v>4713</v>
      </c>
      <c r="C1979" s="8" t="s">
        <v>4710</v>
      </c>
      <c r="D1979" s="8" t="s">
        <v>4711</v>
      </c>
      <c r="E1979" s="8" t="s">
        <v>4712</v>
      </c>
      <c r="F1979" s="8" t="s">
        <v>611</v>
      </c>
      <c r="G1979" s="8" t="s">
        <v>328</v>
      </c>
      <c r="H1979" s="8" t="s">
        <v>33</v>
      </c>
      <c r="I1979" s="9" t="n">
        <v>37773</v>
      </c>
      <c r="J1979" s="8" t="s">
        <v>19</v>
      </c>
      <c r="K1979" s="8" t="s">
        <v>20</v>
      </c>
    </row>
    <row r="1980" customFormat="false" ht="12.8" hidden="false" customHeight="false" outlineLevel="0" collapsed="false">
      <c r="A1980" s="6" t="str">
        <f aca="false">HYPERLINK("https://www.fabsurplus.com/sdi_catalog/salesItemDetails.do?id=99338")</f>
        <v>https://www.fabsurplus.com/sdi_catalog/salesItemDetails.do?id=99338</v>
      </c>
      <c r="B1980" s="6" t="s">
        <v>4714</v>
      </c>
      <c r="C1980" s="6" t="s">
        <v>4710</v>
      </c>
      <c r="D1980" s="6" t="s">
        <v>4711</v>
      </c>
      <c r="E1980" s="6" t="s">
        <v>4712</v>
      </c>
      <c r="F1980" s="6" t="s">
        <v>611</v>
      </c>
      <c r="G1980" s="6" t="s">
        <v>328</v>
      </c>
      <c r="H1980" s="6" t="s">
        <v>33</v>
      </c>
      <c r="I1980" s="7" t="n">
        <v>37773</v>
      </c>
      <c r="J1980" s="6" t="s">
        <v>19</v>
      </c>
      <c r="K1980" s="6" t="s">
        <v>20</v>
      </c>
    </row>
    <row r="1981" customFormat="false" ht="12.8" hidden="false" customHeight="false" outlineLevel="0" collapsed="false">
      <c r="A1981" s="8" t="str">
        <f aca="false">HYPERLINK("https://www.fabsurplus.com/sdi_catalog/salesItemDetails.do?id=99337")</f>
        <v>https://www.fabsurplus.com/sdi_catalog/salesItemDetails.do?id=99337</v>
      </c>
      <c r="B1981" s="8" t="s">
        <v>4715</v>
      </c>
      <c r="C1981" s="8" t="s">
        <v>4710</v>
      </c>
      <c r="D1981" s="8" t="s">
        <v>4711</v>
      </c>
      <c r="E1981" s="8" t="s">
        <v>4712</v>
      </c>
      <c r="F1981" s="8" t="s">
        <v>611</v>
      </c>
      <c r="G1981" s="8" t="s">
        <v>328</v>
      </c>
      <c r="H1981" s="8" t="s">
        <v>33</v>
      </c>
      <c r="I1981" s="9" t="n">
        <v>37773</v>
      </c>
      <c r="J1981" s="8" t="s">
        <v>19</v>
      </c>
      <c r="K1981" s="8" t="s">
        <v>20</v>
      </c>
    </row>
    <row r="1982" customFormat="false" ht="12.8" hidden="false" customHeight="false" outlineLevel="0" collapsed="false">
      <c r="A1982" s="6" t="str">
        <f aca="false">HYPERLINK("https://www.fabsurplus.com/sdi_catalog/salesItemDetails.do?id=99336")</f>
        <v>https://www.fabsurplus.com/sdi_catalog/salesItemDetails.do?id=99336</v>
      </c>
      <c r="B1982" s="6" t="s">
        <v>4716</v>
      </c>
      <c r="C1982" s="6" t="s">
        <v>4710</v>
      </c>
      <c r="D1982" s="6" t="s">
        <v>4711</v>
      </c>
      <c r="E1982" s="6" t="s">
        <v>4712</v>
      </c>
      <c r="F1982" s="6" t="s">
        <v>16</v>
      </c>
      <c r="G1982" s="6" t="s">
        <v>328</v>
      </c>
      <c r="H1982" s="6" t="s">
        <v>33</v>
      </c>
      <c r="I1982" s="7" t="n">
        <v>37773</v>
      </c>
      <c r="J1982" s="6" t="s">
        <v>19</v>
      </c>
      <c r="K1982" s="6" t="s">
        <v>20</v>
      </c>
    </row>
    <row r="1983" customFormat="false" ht="12.8" hidden="false" customHeight="false" outlineLevel="0" collapsed="false">
      <c r="A1983" s="8" t="str">
        <f aca="false">HYPERLINK("https://www.fabsurplus.com/sdi_catalog/salesItemDetails.do?id=99335")</f>
        <v>https://www.fabsurplus.com/sdi_catalog/salesItemDetails.do?id=99335</v>
      </c>
      <c r="B1983" s="8" t="s">
        <v>4717</v>
      </c>
      <c r="C1983" s="8" t="s">
        <v>4710</v>
      </c>
      <c r="D1983" s="8" t="s">
        <v>4711</v>
      </c>
      <c r="E1983" s="8" t="s">
        <v>4712</v>
      </c>
      <c r="F1983" s="8" t="s">
        <v>16</v>
      </c>
      <c r="G1983" s="8" t="s">
        <v>328</v>
      </c>
      <c r="H1983" s="8" t="s">
        <v>33</v>
      </c>
      <c r="I1983" s="9" t="n">
        <v>37773</v>
      </c>
      <c r="J1983" s="8" t="s">
        <v>19</v>
      </c>
      <c r="K1983" s="8" t="s">
        <v>20</v>
      </c>
    </row>
    <row r="1984" customFormat="false" ht="12.8" hidden="false" customHeight="false" outlineLevel="0" collapsed="false">
      <c r="A1984" s="6" t="str">
        <f aca="false">HYPERLINK("https://www.fabsurplus.com/sdi_catalog/salesItemDetails.do?id=99334")</f>
        <v>https://www.fabsurplus.com/sdi_catalog/salesItemDetails.do?id=99334</v>
      </c>
      <c r="B1984" s="6" t="s">
        <v>4718</v>
      </c>
      <c r="C1984" s="6" t="s">
        <v>4710</v>
      </c>
      <c r="D1984" s="6" t="s">
        <v>4711</v>
      </c>
      <c r="E1984" s="6" t="s">
        <v>4712</v>
      </c>
      <c r="F1984" s="6" t="s">
        <v>16</v>
      </c>
      <c r="G1984" s="6" t="s">
        <v>328</v>
      </c>
      <c r="H1984" s="6" t="s">
        <v>33</v>
      </c>
      <c r="I1984" s="7" t="n">
        <v>37408</v>
      </c>
      <c r="J1984" s="6" t="s">
        <v>19</v>
      </c>
      <c r="K1984" s="6"/>
    </row>
    <row r="1985" customFormat="false" ht="12.8" hidden="false" customHeight="false" outlineLevel="0" collapsed="false">
      <c r="A1985" s="8" t="str">
        <f aca="false">HYPERLINK("https://www.fabsurplus.com/sdi_catalog/salesItemDetails.do?id=99333")</f>
        <v>https://www.fabsurplus.com/sdi_catalog/salesItemDetails.do?id=99333</v>
      </c>
      <c r="B1985" s="8" t="s">
        <v>4719</v>
      </c>
      <c r="C1985" s="8" t="s">
        <v>4710</v>
      </c>
      <c r="D1985" s="8" t="s">
        <v>4711</v>
      </c>
      <c r="E1985" s="8" t="s">
        <v>4712</v>
      </c>
      <c r="F1985" s="8" t="s">
        <v>16</v>
      </c>
      <c r="G1985" s="8" t="s">
        <v>328</v>
      </c>
      <c r="H1985" s="8" t="s">
        <v>33</v>
      </c>
      <c r="I1985" s="9" t="n">
        <v>37408</v>
      </c>
      <c r="J1985" s="8" t="s">
        <v>19</v>
      </c>
      <c r="K1985" s="8" t="s">
        <v>20</v>
      </c>
    </row>
    <row r="1986" customFormat="false" ht="12.8" hidden="false" customHeight="false" outlineLevel="0" collapsed="false">
      <c r="A1986" s="6" t="str">
        <f aca="false">HYPERLINK("https://www.fabsurplus.com/sdi_catalog/salesItemDetails.do?id=100043")</f>
        <v>https://www.fabsurplus.com/sdi_catalog/salesItemDetails.do?id=100043</v>
      </c>
      <c r="B1986" s="6" t="s">
        <v>4720</v>
      </c>
      <c r="C1986" s="6" t="s">
        <v>4721</v>
      </c>
      <c r="D1986" s="6" t="s">
        <v>4722</v>
      </c>
      <c r="E1986" s="6" t="s">
        <v>3219</v>
      </c>
      <c r="F1986" s="6" t="s">
        <v>16</v>
      </c>
      <c r="G1986" s="6"/>
      <c r="H1986" s="6"/>
      <c r="I1986" s="6"/>
      <c r="J1986" s="6" t="s">
        <v>19</v>
      </c>
      <c r="K1986" s="6"/>
    </row>
    <row r="1987" customFormat="false" ht="12.8" hidden="false" customHeight="false" outlineLevel="0" collapsed="false">
      <c r="A1987" s="8" t="str">
        <f aca="false">HYPERLINK("https://www.fabsurplus.com/sdi_catalog/salesItemDetails.do?id=100042")</f>
        <v>https://www.fabsurplus.com/sdi_catalog/salesItemDetails.do?id=100042</v>
      </c>
      <c r="B1987" s="8" t="s">
        <v>4723</v>
      </c>
      <c r="C1987" s="8" t="s">
        <v>4721</v>
      </c>
      <c r="D1987" s="8" t="s">
        <v>4722</v>
      </c>
      <c r="E1987" s="8" t="s">
        <v>3219</v>
      </c>
      <c r="F1987" s="8" t="s">
        <v>16</v>
      </c>
      <c r="G1987" s="8"/>
      <c r="H1987" s="8"/>
      <c r="I1987" s="8"/>
      <c r="J1987" s="8" t="s">
        <v>19</v>
      </c>
      <c r="K1987" s="8"/>
    </row>
    <row r="1988" customFormat="false" ht="12.8" hidden="false" customHeight="false" outlineLevel="0" collapsed="false">
      <c r="A1988" s="8" t="str">
        <f aca="false">HYPERLINK("https://www.fabsurplus.com/sdi_catalog/salesItemDetails.do?id=97959")</f>
        <v>https://www.fabsurplus.com/sdi_catalog/salesItemDetails.do?id=97959</v>
      </c>
      <c r="B1988" s="8" t="s">
        <v>4724</v>
      </c>
      <c r="C1988" s="8" t="s">
        <v>4721</v>
      </c>
      <c r="D1988" s="8" t="s">
        <v>4725</v>
      </c>
      <c r="E1988" s="8" t="s">
        <v>4726</v>
      </c>
      <c r="F1988" s="8" t="s">
        <v>16</v>
      </c>
      <c r="G1988" s="8" t="s">
        <v>3219</v>
      </c>
      <c r="H1988" s="8"/>
      <c r="I1988" s="8"/>
      <c r="J1988" s="8" t="s">
        <v>81</v>
      </c>
      <c r="K1988" s="8"/>
    </row>
    <row r="1989" customFormat="false" ht="12.8" hidden="false" customHeight="false" outlineLevel="0" collapsed="false">
      <c r="A1989" s="6" t="str">
        <f aca="false">HYPERLINK("https://www.fabsurplus.com/sdi_catalog/salesItemDetails.do?id=97960")</f>
        <v>https://www.fabsurplus.com/sdi_catalog/salesItemDetails.do?id=97960</v>
      </c>
      <c r="B1989" s="6" t="s">
        <v>4727</v>
      </c>
      <c r="C1989" s="6" t="s">
        <v>4721</v>
      </c>
      <c r="D1989" s="6" t="s">
        <v>4728</v>
      </c>
      <c r="E1989" s="6" t="s">
        <v>4729</v>
      </c>
      <c r="F1989" s="6" t="s">
        <v>16</v>
      </c>
      <c r="G1989" s="6" t="s">
        <v>3219</v>
      </c>
      <c r="H1989" s="6"/>
      <c r="I1989" s="6"/>
      <c r="J1989" s="6" t="s">
        <v>81</v>
      </c>
      <c r="K1989" s="6"/>
    </row>
    <row r="1990" customFormat="false" ht="12.8" hidden="false" customHeight="false" outlineLevel="0" collapsed="false">
      <c r="A1990" s="8" t="str">
        <f aca="false">HYPERLINK("https://www.fabsurplus.com/sdi_catalog/salesItemDetails.do?id=98419")</f>
        <v>https://www.fabsurplus.com/sdi_catalog/salesItemDetails.do?id=98419</v>
      </c>
      <c r="B1990" s="8" t="s">
        <v>4730</v>
      </c>
      <c r="C1990" s="8" t="s">
        <v>4731</v>
      </c>
      <c r="D1990" s="8" t="s">
        <v>4732</v>
      </c>
      <c r="E1990" s="8" t="s">
        <v>4733</v>
      </c>
      <c r="F1990" s="8" t="s">
        <v>16</v>
      </c>
      <c r="G1990" s="8" t="s">
        <v>372</v>
      </c>
      <c r="H1990" s="8"/>
      <c r="I1990" s="8"/>
      <c r="J1990" s="8" t="s">
        <v>19</v>
      </c>
      <c r="K1990" s="8"/>
    </row>
    <row r="1991" customFormat="false" ht="12.8" hidden="false" customHeight="false" outlineLevel="0" collapsed="false">
      <c r="A1991" s="6" t="str">
        <f aca="false">HYPERLINK("https://www.fabsurplus.com/sdi_catalog/salesItemDetails.do?id=99401")</f>
        <v>https://www.fabsurplus.com/sdi_catalog/salesItemDetails.do?id=99401</v>
      </c>
      <c r="B1991" s="6" t="s">
        <v>4734</v>
      </c>
      <c r="C1991" s="6" t="s">
        <v>4731</v>
      </c>
      <c r="D1991" s="6" t="s">
        <v>4735</v>
      </c>
      <c r="E1991" s="6" t="s">
        <v>4736</v>
      </c>
      <c r="F1991" s="6" t="s">
        <v>16</v>
      </c>
      <c r="G1991" s="6" t="s">
        <v>3381</v>
      </c>
      <c r="H1991" s="6" t="s">
        <v>33</v>
      </c>
      <c r="I1991" s="7" t="n">
        <v>41061</v>
      </c>
      <c r="J1991" s="6" t="s">
        <v>19</v>
      </c>
      <c r="K1991" s="6" t="s">
        <v>20</v>
      </c>
    </row>
    <row r="1992" customFormat="false" ht="12.8" hidden="false" customHeight="false" outlineLevel="0" collapsed="false">
      <c r="A1992" s="8" t="str">
        <f aca="false">HYPERLINK("https://www.fabsurplus.com/sdi_catalog/salesItemDetails.do?id=99399")</f>
        <v>https://www.fabsurplus.com/sdi_catalog/salesItemDetails.do?id=99399</v>
      </c>
      <c r="B1992" s="8" t="s">
        <v>4737</v>
      </c>
      <c r="C1992" s="8" t="s">
        <v>4731</v>
      </c>
      <c r="D1992" s="8" t="s">
        <v>4738</v>
      </c>
      <c r="E1992" s="8" t="s">
        <v>4739</v>
      </c>
      <c r="F1992" s="8" t="s">
        <v>16</v>
      </c>
      <c r="G1992" s="8"/>
      <c r="H1992" s="8" t="s">
        <v>167</v>
      </c>
      <c r="I1992" s="8"/>
      <c r="J1992" s="8" t="s">
        <v>19</v>
      </c>
      <c r="K1992" s="8" t="s">
        <v>20</v>
      </c>
    </row>
    <row r="1993" customFormat="false" ht="12.8" hidden="false" customHeight="false" outlineLevel="0" collapsed="false">
      <c r="A1993" s="6" t="str">
        <f aca="false">HYPERLINK("https://www.fabsurplus.com/sdi_catalog/salesItemDetails.do?id=99398")</f>
        <v>https://www.fabsurplus.com/sdi_catalog/salesItemDetails.do?id=99398</v>
      </c>
      <c r="B1993" s="6" t="s">
        <v>4740</v>
      </c>
      <c r="C1993" s="6" t="s">
        <v>4731</v>
      </c>
      <c r="D1993" s="6" t="s">
        <v>4741</v>
      </c>
      <c r="E1993" s="6" t="s">
        <v>3996</v>
      </c>
      <c r="F1993" s="6" t="s">
        <v>16</v>
      </c>
      <c r="G1993" s="6"/>
      <c r="H1993" s="6" t="s">
        <v>18</v>
      </c>
      <c r="I1993" s="6"/>
      <c r="J1993" s="6" t="s">
        <v>19</v>
      </c>
      <c r="K1993" s="6" t="s">
        <v>20</v>
      </c>
    </row>
    <row r="1994" customFormat="false" ht="12.8" hidden="false" customHeight="false" outlineLevel="0" collapsed="false">
      <c r="A1994" s="8" t="str">
        <f aca="false">HYPERLINK("https://www.fabsurplus.com/sdi_catalog/salesItemDetails.do?id=100233")</f>
        <v>https://www.fabsurplus.com/sdi_catalog/salesItemDetails.do?id=100233</v>
      </c>
      <c r="B1994" s="8" t="s">
        <v>4742</v>
      </c>
      <c r="C1994" s="8" t="s">
        <v>4731</v>
      </c>
      <c r="D1994" s="8" t="s">
        <v>4743</v>
      </c>
      <c r="E1994" s="8" t="s">
        <v>4744</v>
      </c>
      <c r="F1994" s="8" t="s">
        <v>16</v>
      </c>
      <c r="G1994" s="8"/>
      <c r="H1994" s="8"/>
      <c r="I1994" s="9" t="n">
        <v>40330</v>
      </c>
      <c r="J1994" s="8" t="s">
        <v>19</v>
      </c>
      <c r="K1994" s="8"/>
    </row>
    <row r="1995" customFormat="false" ht="12.8" hidden="false" customHeight="false" outlineLevel="0" collapsed="false">
      <c r="A1995" s="6" t="str">
        <f aca="false">HYPERLINK("https://www.fabsurplus.com/sdi_catalog/salesItemDetails.do?id=100232")</f>
        <v>https://www.fabsurplus.com/sdi_catalog/salesItemDetails.do?id=100232</v>
      </c>
      <c r="B1995" s="6" t="s">
        <v>4745</v>
      </c>
      <c r="C1995" s="6" t="s">
        <v>4746</v>
      </c>
      <c r="D1995" s="6" t="s">
        <v>4747</v>
      </c>
      <c r="E1995" s="6" t="s">
        <v>884</v>
      </c>
      <c r="F1995" s="6" t="s">
        <v>16</v>
      </c>
      <c r="G1995" s="6" t="s">
        <v>686</v>
      </c>
      <c r="H1995" s="6"/>
      <c r="I1995" s="6"/>
      <c r="J1995" s="6" t="s">
        <v>19</v>
      </c>
      <c r="K1995" s="6"/>
    </row>
    <row r="1996" customFormat="false" ht="12.8" hidden="false" customHeight="false" outlineLevel="0" collapsed="false">
      <c r="A1996" s="6" t="str">
        <f aca="false">HYPERLINK("https://www.fabsurplus.com/sdi_catalog/salesItemDetails.do?id=100345")</f>
        <v>https://www.fabsurplus.com/sdi_catalog/salesItemDetails.do?id=100345</v>
      </c>
      <c r="B1996" s="6" t="s">
        <v>4748</v>
      </c>
      <c r="C1996" s="6" t="s">
        <v>4749</v>
      </c>
      <c r="D1996" s="6" t="s">
        <v>4750</v>
      </c>
      <c r="E1996" s="6" t="s">
        <v>4751</v>
      </c>
      <c r="F1996" s="6" t="s">
        <v>16</v>
      </c>
      <c r="G1996" s="6"/>
      <c r="H1996" s="6" t="s">
        <v>18</v>
      </c>
      <c r="I1996" s="7" t="n">
        <v>41061</v>
      </c>
      <c r="J1996" s="6" t="s">
        <v>19</v>
      </c>
      <c r="K1996" s="6" t="s">
        <v>20</v>
      </c>
    </row>
    <row r="1997" customFormat="false" ht="12.8" hidden="false" customHeight="false" outlineLevel="0" collapsed="false">
      <c r="A1997" s="6" t="str">
        <f aca="false">HYPERLINK("https://www.fabsurplus.com/sdi_catalog/salesItemDetails.do?id=97449")</f>
        <v>https://www.fabsurplus.com/sdi_catalog/salesItemDetails.do?id=97449</v>
      </c>
      <c r="B1997" s="6" t="s">
        <v>4752</v>
      </c>
      <c r="C1997" s="6" t="s">
        <v>4749</v>
      </c>
      <c r="D1997" s="6" t="s">
        <v>4753</v>
      </c>
      <c r="E1997" s="6" t="s">
        <v>4754</v>
      </c>
      <c r="F1997" s="6" t="s">
        <v>16</v>
      </c>
      <c r="G1997" s="6"/>
      <c r="H1997" s="6" t="s">
        <v>33</v>
      </c>
      <c r="I1997" s="6"/>
      <c r="J1997" s="6" t="s">
        <v>19</v>
      </c>
      <c r="K1997" s="6" t="s">
        <v>20</v>
      </c>
    </row>
    <row r="1998" customFormat="false" ht="12.8" hidden="false" customHeight="false" outlineLevel="0" collapsed="false">
      <c r="A1998" s="6" t="str">
        <f aca="false">HYPERLINK("https://www.fabsurplus.com/sdi_catalog/salesItemDetails.do?id=99868")</f>
        <v>https://www.fabsurplus.com/sdi_catalog/salesItemDetails.do?id=99868</v>
      </c>
      <c r="B1998" s="6" t="s">
        <v>4755</v>
      </c>
      <c r="C1998" s="6" t="s">
        <v>4756</v>
      </c>
      <c r="D1998" s="6" t="s">
        <v>4757</v>
      </c>
      <c r="E1998" s="6" t="s">
        <v>4758</v>
      </c>
      <c r="F1998" s="6" t="s">
        <v>16</v>
      </c>
      <c r="G1998" s="6"/>
      <c r="H1998" s="6"/>
      <c r="I1998" s="6"/>
      <c r="J1998" s="6" t="s">
        <v>81</v>
      </c>
      <c r="K1998" s="6"/>
    </row>
    <row r="1999" customFormat="false" ht="12.8" hidden="false" customHeight="false" outlineLevel="0" collapsed="false">
      <c r="A1999" s="8" t="str">
        <f aca="false">HYPERLINK("https://www.fabsurplus.com/sdi_catalog/salesItemDetails.do?id=100044")</f>
        <v>https://www.fabsurplus.com/sdi_catalog/salesItemDetails.do?id=100044</v>
      </c>
      <c r="B1999" s="8" t="s">
        <v>4759</v>
      </c>
      <c r="C1999" s="8" t="s">
        <v>4760</v>
      </c>
      <c r="D1999" s="8" t="s">
        <v>4761</v>
      </c>
      <c r="E1999" s="8" t="s">
        <v>4762</v>
      </c>
      <c r="F1999" s="8" t="s">
        <v>16</v>
      </c>
      <c r="G1999" s="8"/>
      <c r="H1999" s="8"/>
      <c r="I1999" s="8"/>
      <c r="J1999" s="8" t="s">
        <v>19</v>
      </c>
      <c r="K1999" s="8"/>
    </row>
    <row r="2000" customFormat="false" ht="12.8" hidden="false" customHeight="false" outlineLevel="0" collapsed="false">
      <c r="A2000" s="6" t="str">
        <f aca="false">HYPERLINK("https://www.fabsurplus.com/sdi_catalog/salesItemDetails.do?id=98624")</f>
        <v>https://www.fabsurplus.com/sdi_catalog/salesItemDetails.do?id=98624</v>
      </c>
      <c r="B2000" s="6" t="s">
        <v>4763</v>
      </c>
      <c r="C2000" s="6" t="s">
        <v>4764</v>
      </c>
      <c r="D2000" s="6" t="s">
        <v>4765</v>
      </c>
      <c r="E2000" s="6" t="s">
        <v>1964</v>
      </c>
      <c r="F2000" s="6" t="s">
        <v>16</v>
      </c>
      <c r="G2000" s="6" t="s">
        <v>434</v>
      </c>
      <c r="H2000" s="6"/>
      <c r="I2000" s="6"/>
      <c r="J2000" s="6" t="s">
        <v>19</v>
      </c>
      <c r="K2000" s="6"/>
    </row>
    <row r="2001" customFormat="false" ht="12.8" hidden="false" customHeight="false" outlineLevel="0" collapsed="false">
      <c r="A2001" s="8" t="str">
        <f aca="false">HYPERLINK("https://www.fabsurplus.com/sdi_catalog/salesItemDetails.do?id=98623")</f>
        <v>https://www.fabsurplus.com/sdi_catalog/salesItemDetails.do?id=98623</v>
      </c>
      <c r="B2001" s="8" t="s">
        <v>4766</v>
      </c>
      <c r="C2001" s="8" t="s">
        <v>4764</v>
      </c>
      <c r="D2001" s="8" t="s">
        <v>4765</v>
      </c>
      <c r="E2001" s="8" t="s">
        <v>1964</v>
      </c>
      <c r="F2001" s="8" t="s">
        <v>16</v>
      </c>
      <c r="G2001" s="8" t="s">
        <v>434</v>
      </c>
      <c r="H2001" s="8"/>
      <c r="I2001" s="8"/>
      <c r="J2001" s="8" t="s">
        <v>19</v>
      </c>
      <c r="K2001" s="8"/>
    </row>
    <row r="2002" customFormat="false" ht="12.8" hidden="false" customHeight="false" outlineLevel="0" collapsed="false">
      <c r="A2002" s="6" t="str">
        <f aca="false">HYPERLINK("https://www.fabsurplus.com/sdi_catalog/salesItemDetails.do?id=98622")</f>
        <v>https://www.fabsurplus.com/sdi_catalog/salesItemDetails.do?id=98622</v>
      </c>
      <c r="B2002" s="6" t="s">
        <v>4767</v>
      </c>
      <c r="C2002" s="6" t="s">
        <v>4764</v>
      </c>
      <c r="D2002" s="6" t="s">
        <v>4765</v>
      </c>
      <c r="E2002" s="6" t="s">
        <v>1964</v>
      </c>
      <c r="F2002" s="6" t="s">
        <v>16</v>
      </c>
      <c r="G2002" s="6" t="s">
        <v>434</v>
      </c>
      <c r="H2002" s="6"/>
      <c r="I2002" s="6"/>
      <c r="J2002" s="6" t="s">
        <v>19</v>
      </c>
      <c r="K2002" s="6"/>
    </row>
    <row r="2003" customFormat="false" ht="12.8" hidden="false" customHeight="false" outlineLevel="0" collapsed="false">
      <c r="A2003" s="6" t="str">
        <f aca="false">HYPERLINK("https://www.fabsurplus.com/sdi_catalog/salesItemDetails.do?id=97961")</f>
        <v>https://www.fabsurplus.com/sdi_catalog/salesItemDetails.do?id=97961</v>
      </c>
      <c r="B2003" s="6" t="s">
        <v>4768</v>
      </c>
      <c r="C2003" s="6" t="s">
        <v>4769</v>
      </c>
      <c r="D2003" s="6" t="s">
        <v>4770</v>
      </c>
      <c r="E2003" s="6" t="s">
        <v>1850</v>
      </c>
      <c r="F2003" s="6" t="s">
        <v>742</v>
      </c>
      <c r="G2003" s="6" t="s">
        <v>1851</v>
      </c>
      <c r="H2003" s="6"/>
      <c r="I2003" s="6"/>
      <c r="J2003" s="6" t="s">
        <v>81</v>
      </c>
      <c r="K2003" s="6"/>
    </row>
    <row r="2004" customFormat="false" ht="12.8" hidden="false" customHeight="false" outlineLevel="0" collapsed="false">
      <c r="A2004" s="6" t="str">
        <f aca="false">HYPERLINK("https://www.fabsurplus.com/sdi_catalog/salesItemDetails.do?id=100680")</f>
        <v>https://www.fabsurplus.com/sdi_catalog/salesItemDetails.do?id=100680</v>
      </c>
      <c r="B2004" s="6" t="s">
        <v>4771</v>
      </c>
      <c r="C2004" s="6" t="s">
        <v>4764</v>
      </c>
      <c r="D2004" s="6" t="s">
        <v>4772</v>
      </c>
      <c r="E2004" s="6" t="s">
        <v>4773</v>
      </c>
      <c r="F2004" s="6" t="s">
        <v>611</v>
      </c>
      <c r="G2004" s="6" t="s">
        <v>1851</v>
      </c>
      <c r="H2004" s="6"/>
      <c r="I2004" s="6"/>
      <c r="J2004" s="6" t="s">
        <v>19</v>
      </c>
      <c r="K2004" s="6"/>
    </row>
    <row r="2005" customFormat="false" ht="12.8" hidden="false" customHeight="false" outlineLevel="0" collapsed="false">
      <c r="A2005" s="8" t="str">
        <f aca="false">HYPERLINK("https://www.fabsurplus.com/sdi_catalog/salesItemDetails.do?id=97207")</f>
        <v>https://www.fabsurplus.com/sdi_catalog/salesItemDetails.do?id=97207</v>
      </c>
      <c r="B2005" s="8" t="s">
        <v>4774</v>
      </c>
      <c r="C2005" s="8" t="s">
        <v>4775</v>
      </c>
      <c r="D2005" s="8" t="s">
        <v>4776</v>
      </c>
      <c r="E2005" s="8" t="s">
        <v>3698</v>
      </c>
      <c r="F2005" s="8" t="s">
        <v>16</v>
      </c>
      <c r="G2005" s="8" t="s">
        <v>434</v>
      </c>
      <c r="H2005" s="8"/>
      <c r="I2005" s="9" t="n">
        <v>41426</v>
      </c>
      <c r="J2005" s="8" t="s">
        <v>19</v>
      </c>
      <c r="K2005" s="8"/>
    </row>
    <row r="2006" customFormat="false" ht="12.8" hidden="false" customHeight="false" outlineLevel="0" collapsed="false">
      <c r="A2006" s="6" t="str">
        <f aca="false">HYPERLINK("https://www.fabsurplus.com/sdi_catalog/salesItemDetails.do?id=100862")</f>
        <v>https://www.fabsurplus.com/sdi_catalog/salesItemDetails.do?id=100862</v>
      </c>
      <c r="B2006" s="6" t="s">
        <v>4777</v>
      </c>
      <c r="C2006" s="6" t="s">
        <v>4778</v>
      </c>
      <c r="D2006" s="6" t="s">
        <v>4779</v>
      </c>
      <c r="E2006" s="6" t="s">
        <v>4780</v>
      </c>
      <c r="F2006" s="6" t="s">
        <v>16</v>
      </c>
      <c r="G2006" s="6" t="s">
        <v>32</v>
      </c>
      <c r="H2006" s="6"/>
      <c r="I2006" s="7" t="n">
        <v>36678</v>
      </c>
      <c r="J2006" s="6" t="s">
        <v>19</v>
      </c>
      <c r="K2006" s="6"/>
    </row>
    <row r="2007" customFormat="false" ht="12.8" hidden="false" customHeight="false" outlineLevel="0" collapsed="false">
      <c r="A2007" s="6" t="str">
        <f aca="false">HYPERLINK("https://www.fabsurplus.com/sdi_catalog/salesItemDetails.do?id=98625")</f>
        <v>https://www.fabsurplus.com/sdi_catalog/salesItemDetails.do?id=98625</v>
      </c>
      <c r="B2007" s="6" t="s">
        <v>4781</v>
      </c>
      <c r="C2007" s="6" t="s">
        <v>4782</v>
      </c>
      <c r="D2007" s="6" t="s">
        <v>4783</v>
      </c>
      <c r="E2007" s="6" t="s">
        <v>2603</v>
      </c>
      <c r="F2007" s="6" t="s">
        <v>16</v>
      </c>
      <c r="G2007" s="6" t="s">
        <v>837</v>
      </c>
      <c r="H2007" s="6"/>
      <c r="I2007" s="6"/>
      <c r="J2007" s="6" t="s">
        <v>19</v>
      </c>
      <c r="K2007" s="6"/>
    </row>
    <row r="2008" customFormat="false" ht="12.8" hidden="false" customHeight="false" outlineLevel="0" collapsed="false">
      <c r="A2008" s="8" t="str">
        <f aca="false">HYPERLINK("https://www.fabsurplus.com/sdi_catalog/salesItemDetails.do?id=98629")</f>
        <v>https://www.fabsurplus.com/sdi_catalog/salesItemDetails.do?id=98629</v>
      </c>
      <c r="B2008" s="8" t="s">
        <v>4784</v>
      </c>
      <c r="C2008" s="8" t="s">
        <v>4782</v>
      </c>
      <c r="D2008" s="8" t="s">
        <v>4785</v>
      </c>
      <c r="E2008" s="8" t="s">
        <v>2603</v>
      </c>
      <c r="F2008" s="8" t="s">
        <v>16</v>
      </c>
      <c r="G2008" s="8" t="s">
        <v>837</v>
      </c>
      <c r="H2008" s="8"/>
      <c r="I2008" s="8"/>
      <c r="J2008" s="8" t="s">
        <v>19</v>
      </c>
      <c r="K2008" s="8"/>
    </row>
    <row r="2009" customFormat="false" ht="12.8" hidden="false" customHeight="false" outlineLevel="0" collapsed="false">
      <c r="A2009" s="6" t="str">
        <f aca="false">HYPERLINK("https://www.fabsurplus.com/sdi_catalog/salesItemDetails.do?id=98628")</f>
        <v>https://www.fabsurplus.com/sdi_catalog/salesItemDetails.do?id=98628</v>
      </c>
      <c r="B2009" s="6" t="s">
        <v>4786</v>
      </c>
      <c r="C2009" s="6" t="s">
        <v>4782</v>
      </c>
      <c r="D2009" s="6" t="s">
        <v>839</v>
      </c>
      <c r="E2009" s="6" t="s">
        <v>2603</v>
      </c>
      <c r="F2009" s="6" t="s">
        <v>16</v>
      </c>
      <c r="G2009" s="6" t="s">
        <v>837</v>
      </c>
      <c r="H2009" s="6"/>
      <c r="I2009" s="6"/>
      <c r="J2009" s="6" t="s">
        <v>19</v>
      </c>
      <c r="K2009" s="6"/>
    </row>
    <row r="2010" customFormat="false" ht="12.8" hidden="false" customHeight="false" outlineLevel="0" collapsed="false">
      <c r="A2010" s="8" t="str">
        <f aca="false">HYPERLINK("https://www.fabsurplus.com/sdi_catalog/salesItemDetails.do?id=98627")</f>
        <v>https://www.fabsurplus.com/sdi_catalog/salesItemDetails.do?id=98627</v>
      </c>
      <c r="B2010" s="8" t="s">
        <v>4787</v>
      </c>
      <c r="C2010" s="8" t="s">
        <v>4782</v>
      </c>
      <c r="D2010" s="8" t="s">
        <v>839</v>
      </c>
      <c r="E2010" s="8" t="s">
        <v>2603</v>
      </c>
      <c r="F2010" s="8" t="s">
        <v>16</v>
      </c>
      <c r="G2010" s="8" t="s">
        <v>837</v>
      </c>
      <c r="H2010" s="8"/>
      <c r="I2010" s="8"/>
      <c r="J2010" s="8" t="s">
        <v>19</v>
      </c>
      <c r="K2010" s="8"/>
    </row>
    <row r="2011" customFormat="false" ht="12.8" hidden="false" customHeight="false" outlineLevel="0" collapsed="false">
      <c r="A2011" s="8" t="str">
        <f aca="false">HYPERLINK("https://www.fabsurplus.com/sdi_catalog/salesItemDetails.do?id=98626")</f>
        <v>https://www.fabsurplus.com/sdi_catalog/salesItemDetails.do?id=98626</v>
      </c>
      <c r="B2011" s="8" t="s">
        <v>4788</v>
      </c>
      <c r="C2011" s="8" t="s">
        <v>4782</v>
      </c>
      <c r="D2011" s="8" t="s">
        <v>839</v>
      </c>
      <c r="E2011" s="8" t="s">
        <v>2603</v>
      </c>
      <c r="F2011" s="8" t="s">
        <v>16</v>
      </c>
      <c r="G2011" s="8" t="s">
        <v>837</v>
      </c>
      <c r="H2011" s="8"/>
      <c r="I2011" s="8"/>
      <c r="J2011" s="8" t="s">
        <v>19</v>
      </c>
      <c r="K2011" s="8"/>
    </row>
    <row r="2012" customFormat="false" ht="12.8" hidden="false" customHeight="false" outlineLevel="0" collapsed="false">
      <c r="A2012" s="8" t="str">
        <f aca="false">HYPERLINK("https://www.fabsurplus.com/sdi_catalog/salesItemDetails.do?id=98631")</f>
        <v>https://www.fabsurplus.com/sdi_catalog/salesItemDetails.do?id=98631</v>
      </c>
      <c r="B2012" s="8" t="s">
        <v>4789</v>
      </c>
      <c r="C2012" s="8" t="s">
        <v>4782</v>
      </c>
      <c r="D2012" s="8" t="s">
        <v>4790</v>
      </c>
      <c r="E2012" s="8" t="s">
        <v>2603</v>
      </c>
      <c r="F2012" s="8" t="s">
        <v>16</v>
      </c>
      <c r="G2012" s="8" t="s">
        <v>837</v>
      </c>
      <c r="H2012" s="8"/>
      <c r="I2012" s="8"/>
      <c r="J2012" s="8" t="s">
        <v>19</v>
      </c>
      <c r="K2012" s="8"/>
    </row>
    <row r="2013" customFormat="false" ht="12.8" hidden="false" customHeight="false" outlineLevel="0" collapsed="false">
      <c r="A2013" s="6" t="str">
        <f aca="false">HYPERLINK("https://www.fabsurplus.com/sdi_catalog/salesItemDetails.do?id=98630")</f>
        <v>https://www.fabsurplus.com/sdi_catalog/salesItemDetails.do?id=98630</v>
      </c>
      <c r="B2013" s="6" t="s">
        <v>4791</v>
      </c>
      <c r="C2013" s="6" t="s">
        <v>4782</v>
      </c>
      <c r="D2013" s="6" t="s">
        <v>4790</v>
      </c>
      <c r="E2013" s="6" t="s">
        <v>2603</v>
      </c>
      <c r="F2013" s="6" t="s">
        <v>16</v>
      </c>
      <c r="G2013" s="6" t="s">
        <v>837</v>
      </c>
      <c r="H2013" s="6"/>
      <c r="I2013" s="6"/>
      <c r="J2013" s="6" t="s">
        <v>19</v>
      </c>
      <c r="K2013" s="6"/>
    </row>
    <row r="2014" customFormat="false" ht="12.8" hidden="false" customHeight="false" outlineLevel="0" collapsed="false">
      <c r="A2014" s="8" t="str">
        <f aca="false">HYPERLINK("https://www.fabsurplus.com/sdi_catalog/salesItemDetails.do?id=98635")</f>
        <v>https://www.fabsurplus.com/sdi_catalog/salesItemDetails.do?id=98635</v>
      </c>
      <c r="B2014" s="8" t="s">
        <v>4792</v>
      </c>
      <c r="C2014" s="8" t="s">
        <v>4782</v>
      </c>
      <c r="D2014" s="8" t="s">
        <v>4793</v>
      </c>
      <c r="E2014" s="8" t="s">
        <v>2603</v>
      </c>
      <c r="F2014" s="8" t="s">
        <v>16</v>
      </c>
      <c r="G2014" s="8" t="s">
        <v>837</v>
      </c>
      <c r="H2014" s="8"/>
      <c r="I2014" s="8"/>
      <c r="J2014" s="8" t="s">
        <v>19</v>
      </c>
      <c r="K2014" s="8"/>
    </row>
    <row r="2015" customFormat="false" ht="12.8" hidden="false" customHeight="false" outlineLevel="0" collapsed="false">
      <c r="A2015" s="6" t="str">
        <f aca="false">HYPERLINK("https://www.fabsurplus.com/sdi_catalog/salesItemDetails.do?id=98634")</f>
        <v>https://www.fabsurplus.com/sdi_catalog/salesItemDetails.do?id=98634</v>
      </c>
      <c r="B2015" s="6" t="s">
        <v>4794</v>
      </c>
      <c r="C2015" s="6" t="s">
        <v>4782</v>
      </c>
      <c r="D2015" s="6" t="s">
        <v>4793</v>
      </c>
      <c r="E2015" s="6" t="s">
        <v>2603</v>
      </c>
      <c r="F2015" s="6" t="s">
        <v>16</v>
      </c>
      <c r="G2015" s="6" t="s">
        <v>837</v>
      </c>
      <c r="H2015" s="6"/>
      <c r="I2015" s="6"/>
      <c r="J2015" s="6" t="s">
        <v>19</v>
      </c>
      <c r="K2015" s="6"/>
    </row>
    <row r="2016" customFormat="false" ht="12.8" hidden="false" customHeight="false" outlineLevel="0" collapsed="false">
      <c r="A2016" s="8" t="str">
        <f aca="false">HYPERLINK("https://www.fabsurplus.com/sdi_catalog/salesItemDetails.do?id=98633")</f>
        <v>https://www.fabsurplus.com/sdi_catalog/salesItemDetails.do?id=98633</v>
      </c>
      <c r="B2016" s="8" t="s">
        <v>4795</v>
      </c>
      <c r="C2016" s="8" t="s">
        <v>4782</v>
      </c>
      <c r="D2016" s="8" t="s">
        <v>4793</v>
      </c>
      <c r="E2016" s="8" t="s">
        <v>2603</v>
      </c>
      <c r="F2016" s="8" t="s">
        <v>16</v>
      </c>
      <c r="G2016" s="8" t="s">
        <v>837</v>
      </c>
      <c r="H2016" s="8"/>
      <c r="I2016" s="8"/>
      <c r="J2016" s="8" t="s">
        <v>19</v>
      </c>
      <c r="K2016" s="8"/>
    </row>
    <row r="2017" customFormat="false" ht="12.8" hidden="false" customHeight="false" outlineLevel="0" collapsed="false">
      <c r="A2017" s="6" t="str">
        <f aca="false">HYPERLINK("https://www.fabsurplus.com/sdi_catalog/salesItemDetails.do?id=98632")</f>
        <v>https://www.fabsurplus.com/sdi_catalog/salesItemDetails.do?id=98632</v>
      </c>
      <c r="B2017" s="6" t="s">
        <v>4796</v>
      </c>
      <c r="C2017" s="6" t="s">
        <v>4782</v>
      </c>
      <c r="D2017" s="6" t="s">
        <v>4793</v>
      </c>
      <c r="E2017" s="6" t="s">
        <v>2603</v>
      </c>
      <c r="F2017" s="6" t="s">
        <v>16</v>
      </c>
      <c r="G2017" s="6" t="s">
        <v>837</v>
      </c>
      <c r="H2017" s="6"/>
      <c r="I2017" s="6"/>
      <c r="J2017" s="6" t="s">
        <v>19</v>
      </c>
      <c r="K2017" s="6"/>
    </row>
    <row r="2018" customFormat="false" ht="12.8" hidden="false" customHeight="false" outlineLevel="0" collapsed="false">
      <c r="A2018" s="6" t="str">
        <f aca="false">HYPERLINK("https://www.fabsurplus.com/sdi_catalog/salesItemDetails.do?id=98640")</f>
        <v>https://www.fabsurplus.com/sdi_catalog/salesItemDetails.do?id=98640</v>
      </c>
      <c r="B2018" s="6" t="s">
        <v>4797</v>
      </c>
      <c r="C2018" s="6" t="s">
        <v>4782</v>
      </c>
      <c r="D2018" s="6" t="s">
        <v>4798</v>
      </c>
      <c r="E2018" s="6" t="s">
        <v>2603</v>
      </c>
      <c r="F2018" s="6" t="s">
        <v>16</v>
      </c>
      <c r="G2018" s="6" t="s">
        <v>837</v>
      </c>
      <c r="H2018" s="6"/>
      <c r="I2018" s="6"/>
      <c r="J2018" s="6" t="s">
        <v>19</v>
      </c>
      <c r="K2018" s="6"/>
    </row>
    <row r="2019" customFormat="false" ht="12.8" hidden="false" customHeight="false" outlineLevel="0" collapsed="false">
      <c r="A2019" s="8" t="str">
        <f aca="false">HYPERLINK("https://www.fabsurplus.com/sdi_catalog/salesItemDetails.do?id=98639")</f>
        <v>https://www.fabsurplus.com/sdi_catalog/salesItemDetails.do?id=98639</v>
      </c>
      <c r="B2019" s="8" t="s">
        <v>4799</v>
      </c>
      <c r="C2019" s="8" t="s">
        <v>4782</v>
      </c>
      <c r="D2019" s="8" t="s">
        <v>4798</v>
      </c>
      <c r="E2019" s="8" t="s">
        <v>2603</v>
      </c>
      <c r="F2019" s="8" t="s">
        <v>16</v>
      </c>
      <c r="G2019" s="8" t="s">
        <v>837</v>
      </c>
      <c r="H2019" s="8"/>
      <c r="I2019" s="8"/>
      <c r="J2019" s="8" t="s">
        <v>19</v>
      </c>
      <c r="K2019" s="8"/>
    </row>
    <row r="2020" customFormat="false" ht="12.8" hidden="false" customHeight="false" outlineLevel="0" collapsed="false">
      <c r="A2020" s="6" t="str">
        <f aca="false">HYPERLINK("https://www.fabsurplus.com/sdi_catalog/salesItemDetails.do?id=98638")</f>
        <v>https://www.fabsurplus.com/sdi_catalog/salesItemDetails.do?id=98638</v>
      </c>
      <c r="B2020" s="6" t="s">
        <v>4800</v>
      </c>
      <c r="C2020" s="6" t="s">
        <v>4782</v>
      </c>
      <c r="D2020" s="6" t="s">
        <v>4798</v>
      </c>
      <c r="E2020" s="6" t="s">
        <v>2603</v>
      </c>
      <c r="F2020" s="6" t="s">
        <v>16</v>
      </c>
      <c r="G2020" s="6" t="s">
        <v>837</v>
      </c>
      <c r="H2020" s="6"/>
      <c r="I2020" s="6"/>
      <c r="J2020" s="6" t="s">
        <v>19</v>
      </c>
      <c r="K2020" s="6"/>
    </row>
    <row r="2021" customFormat="false" ht="12.8" hidden="false" customHeight="false" outlineLevel="0" collapsed="false">
      <c r="A2021" s="8" t="str">
        <f aca="false">HYPERLINK("https://www.fabsurplus.com/sdi_catalog/salesItemDetails.do?id=98637")</f>
        <v>https://www.fabsurplus.com/sdi_catalog/salesItemDetails.do?id=98637</v>
      </c>
      <c r="B2021" s="8" t="s">
        <v>4801</v>
      </c>
      <c r="C2021" s="8" t="s">
        <v>4782</v>
      </c>
      <c r="D2021" s="8" t="s">
        <v>4798</v>
      </c>
      <c r="E2021" s="8" t="s">
        <v>2603</v>
      </c>
      <c r="F2021" s="8" t="s">
        <v>16</v>
      </c>
      <c r="G2021" s="8" t="s">
        <v>837</v>
      </c>
      <c r="H2021" s="8"/>
      <c r="I2021" s="8"/>
      <c r="J2021" s="8" t="s">
        <v>19</v>
      </c>
      <c r="K2021" s="8"/>
    </row>
    <row r="2022" customFormat="false" ht="12.8" hidden="false" customHeight="false" outlineLevel="0" collapsed="false">
      <c r="A2022" s="6" t="str">
        <f aca="false">HYPERLINK("https://www.fabsurplus.com/sdi_catalog/salesItemDetails.do?id=98636")</f>
        <v>https://www.fabsurplus.com/sdi_catalog/salesItemDetails.do?id=98636</v>
      </c>
      <c r="B2022" s="6" t="s">
        <v>4802</v>
      </c>
      <c r="C2022" s="6" t="s">
        <v>4782</v>
      </c>
      <c r="D2022" s="6" t="s">
        <v>4798</v>
      </c>
      <c r="E2022" s="6" t="s">
        <v>2603</v>
      </c>
      <c r="F2022" s="6" t="s">
        <v>16</v>
      </c>
      <c r="G2022" s="6" t="s">
        <v>837</v>
      </c>
      <c r="H2022" s="6"/>
      <c r="I2022" s="6"/>
      <c r="J2022" s="6" t="s">
        <v>19</v>
      </c>
      <c r="K2022" s="6"/>
    </row>
    <row r="2023" customFormat="false" ht="12.8" hidden="false" customHeight="false" outlineLevel="0" collapsed="false">
      <c r="A2023" s="8" t="str">
        <f aca="false">HYPERLINK("https://www.fabsurplus.com/sdi_catalog/salesItemDetails.do?id=98662")</f>
        <v>https://www.fabsurplus.com/sdi_catalog/salesItemDetails.do?id=98662</v>
      </c>
      <c r="B2023" s="8" t="s">
        <v>4803</v>
      </c>
      <c r="C2023" s="8" t="s">
        <v>4782</v>
      </c>
      <c r="D2023" s="8" t="s">
        <v>4804</v>
      </c>
      <c r="E2023" s="8" t="s">
        <v>2603</v>
      </c>
      <c r="F2023" s="8" t="s">
        <v>16</v>
      </c>
      <c r="G2023" s="8" t="s">
        <v>837</v>
      </c>
      <c r="H2023" s="8"/>
      <c r="I2023" s="8"/>
      <c r="J2023" s="8" t="s">
        <v>19</v>
      </c>
      <c r="K2023" s="8"/>
    </row>
    <row r="2024" customFormat="false" ht="12.8" hidden="false" customHeight="false" outlineLevel="0" collapsed="false">
      <c r="A2024" s="6" t="str">
        <f aca="false">HYPERLINK("https://www.fabsurplus.com/sdi_catalog/salesItemDetails.do?id=98661")</f>
        <v>https://www.fabsurplus.com/sdi_catalog/salesItemDetails.do?id=98661</v>
      </c>
      <c r="B2024" s="6" t="s">
        <v>4805</v>
      </c>
      <c r="C2024" s="6" t="s">
        <v>4782</v>
      </c>
      <c r="D2024" s="6" t="s">
        <v>4804</v>
      </c>
      <c r="E2024" s="6" t="s">
        <v>2603</v>
      </c>
      <c r="F2024" s="6" t="s">
        <v>16</v>
      </c>
      <c r="G2024" s="6" t="s">
        <v>837</v>
      </c>
      <c r="H2024" s="6"/>
      <c r="I2024" s="6"/>
      <c r="J2024" s="6" t="s">
        <v>19</v>
      </c>
      <c r="K2024" s="6"/>
    </row>
    <row r="2025" customFormat="false" ht="12.8" hidden="false" customHeight="false" outlineLevel="0" collapsed="false">
      <c r="A2025" s="8" t="str">
        <f aca="false">HYPERLINK("https://www.fabsurplus.com/sdi_catalog/salesItemDetails.do?id=98660")</f>
        <v>https://www.fabsurplus.com/sdi_catalog/salesItemDetails.do?id=98660</v>
      </c>
      <c r="B2025" s="8" t="s">
        <v>4806</v>
      </c>
      <c r="C2025" s="8" t="s">
        <v>4782</v>
      </c>
      <c r="D2025" s="8" t="s">
        <v>4804</v>
      </c>
      <c r="E2025" s="8" t="s">
        <v>2603</v>
      </c>
      <c r="F2025" s="8" t="s">
        <v>16</v>
      </c>
      <c r="G2025" s="8" t="s">
        <v>837</v>
      </c>
      <c r="H2025" s="8"/>
      <c r="I2025" s="8"/>
      <c r="J2025" s="8" t="s">
        <v>19</v>
      </c>
      <c r="K2025" s="8"/>
    </row>
    <row r="2026" customFormat="false" ht="12.8" hidden="false" customHeight="false" outlineLevel="0" collapsed="false">
      <c r="A2026" s="6" t="str">
        <f aca="false">HYPERLINK("https://www.fabsurplus.com/sdi_catalog/salesItemDetails.do?id=98659")</f>
        <v>https://www.fabsurplus.com/sdi_catalog/salesItemDetails.do?id=98659</v>
      </c>
      <c r="B2026" s="6" t="s">
        <v>4807</v>
      </c>
      <c r="C2026" s="6" t="s">
        <v>4782</v>
      </c>
      <c r="D2026" s="6" t="s">
        <v>4804</v>
      </c>
      <c r="E2026" s="6" t="s">
        <v>2603</v>
      </c>
      <c r="F2026" s="6" t="s">
        <v>16</v>
      </c>
      <c r="G2026" s="6" t="s">
        <v>837</v>
      </c>
      <c r="H2026" s="6"/>
      <c r="I2026" s="6"/>
      <c r="J2026" s="6" t="s">
        <v>19</v>
      </c>
      <c r="K2026" s="6"/>
    </row>
    <row r="2027" customFormat="false" ht="12.8" hidden="false" customHeight="false" outlineLevel="0" collapsed="false">
      <c r="A2027" s="8" t="str">
        <f aca="false">HYPERLINK("https://www.fabsurplus.com/sdi_catalog/salesItemDetails.do?id=98658")</f>
        <v>https://www.fabsurplus.com/sdi_catalog/salesItemDetails.do?id=98658</v>
      </c>
      <c r="B2027" s="8" t="s">
        <v>4808</v>
      </c>
      <c r="C2027" s="8" t="s">
        <v>4782</v>
      </c>
      <c r="D2027" s="8" t="s">
        <v>4804</v>
      </c>
      <c r="E2027" s="8" t="s">
        <v>2603</v>
      </c>
      <c r="F2027" s="8" t="s">
        <v>16</v>
      </c>
      <c r="G2027" s="8" t="s">
        <v>837</v>
      </c>
      <c r="H2027" s="8"/>
      <c r="I2027" s="8"/>
      <c r="J2027" s="8" t="s">
        <v>19</v>
      </c>
      <c r="K2027" s="8"/>
    </row>
    <row r="2028" customFormat="false" ht="12.8" hidden="false" customHeight="false" outlineLevel="0" collapsed="false">
      <c r="A2028" s="6" t="str">
        <f aca="false">HYPERLINK("https://www.fabsurplus.com/sdi_catalog/salesItemDetails.do?id=98657")</f>
        <v>https://www.fabsurplus.com/sdi_catalog/salesItemDetails.do?id=98657</v>
      </c>
      <c r="B2028" s="6" t="s">
        <v>4809</v>
      </c>
      <c r="C2028" s="6" t="s">
        <v>4782</v>
      </c>
      <c r="D2028" s="6" t="s">
        <v>4804</v>
      </c>
      <c r="E2028" s="6" t="s">
        <v>2603</v>
      </c>
      <c r="F2028" s="6" t="s">
        <v>16</v>
      </c>
      <c r="G2028" s="6" t="s">
        <v>837</v>
      </c>
      <c r="H2028" s="6"/>
      <c r="I2028" s="6"/>
      <c r="J2028" s="6" t="s">
        <v>19</v>
      </c>
      <c r="K2028" s="6"/>
    </row>
    <row r="2029" customFormat="false" ht="12.8" hidden="false" customHeight="false" outlineLevel="0" collapsed="false">
      <c r="A2029" s="8" t="str">
        <f aca="false">HYPERLINK("https://www.fabsurplus.com/sdi_catalog/salesItemDetails.do?id=98656")</f>
        <v>https://www.fabsurplus.com/sdi_catalog/salesItemDetails.do?id=98656</v>
      </c>
      <c r="B2029" s="8" t="s">
        <v>4810</v>
      </c>
      <c r="C2029" s="8" t="s">
        <v>4782</v>
      </c>
      <c r="D2029" s="8" t="s">
        <v>4804</v>
      </c>
      <c r="E2029" s="8" t="s">
        <v>2603</v>
      </c>
      <c r="F2029" s="8" t="s">
        <v>16</v>
      </c>
      <c r="G2029" s="8" t="s">
        <v>837</v>
      </c>
      <c r="H2029" s="8"/>
      <c r="I2029" s="8"/>
      <c r="J2029" s="8" t="s">
        <v>19</v>
      </c>
      <c r="K2029" s="8"/>
    </row>
    <row r="2030" customFormat="false" ht="12.8" hidden="false" customHeight="false" outlineLevel="0" collapsed="false">
      <c r="A2030" s="6" t="str">
        <f aca="false">HYPERLINK("https://www.fabsurplus.com/sdi_catalog/salesItemDetails.do?id=98655")</f>
        <v>https://www.fabsurplus.com/sdi_catalog/salesItemDetails.do?id=98655</v>
      </c>
      <c r="B2030" s="6" t="s">
        <v>4811</v>
      </c>
      <c r="C2030" s="6" t="s">
        <v>4782</v>
      </c>
      <c r="D2030" s="6" t="s">
        <v>4804</v>
      </c>
      <c r="E2030" s="6" t="s">
        <v>2603</v>
      </c>
      <c r="F2030" s="6" t="s">
        <v>16</v>
      </c>
      <c r="G2030" s="6" t="s">
        <v>837</v>
      </c>
      <c r="H2030" s="6"/>
      <c r="I2030" s="6"/>
      <c r="J2030" s="6" t="s">
        <v>19</v>
      </c>
      <c r="K2030" s="6"/>
    </row>
    <row r="2031" customFormat="false" ht="12.8" hidden="false" customHeight="false" outlineLevel="0" collapsed="false">
      <c r="A2031" s="8" t="str">
        <f aca="false">HYPERLINK("https://www.fabsurplus.com/sdi_catalog/salesItemDetails.do?id=98654")</f>
        <v>https://www.fabsurplus.com/sdi_catalog/salesItemDetails.do?id=98654</v>
      </c>
      <c r="B2031" s="8" t="s">
        <v>4812</v>
      </c>
      <c r="C2031" s="8" t="s">
        <v>4782</v>
      </c>
      <c r="D2031" s="8" t="s">
        <v>4804</v>
      </c>
      <c r="E2031" s="8" t="s">
        <v>2603</v>
      </c>
      <c r="F2031" s="8" t="s">
        <v>16</v>
      </c>
      <c r="G2031" s="8" t="s">
        <v>837</v>
      </c>
      <c r="H2031" s="8"/>
      <c r="I2031" s="8"/>
      <c r="J2031" s="8" t="s">
        <v>19</v>
      </c>
      <c r="K2031" s="8"/>
    </row>
    <row r="2032" customFormat="false" ht="12.8" hidden="false" customHeight="false" outlineLevel="0" collapsed="false">
      <c r="A2032" s="6" t="str">
        <f aca="false">HYPERLINK("https://www.fabsurplus.com/sdi_catalog/salesItemDetails.do?id=98653")</f>
        <v>https://www.fabsurplus.com/sdi_catalog/salesItemDetails.do?id=98653</v>
      </c>
      <c r="B2032" s="6" t="s">
        <v>4813</v>
      </c>
      <c r="C2032" s="6" t="s">
        <v>4782</v>
      </c>
      <c r="D2032" s="6" t="s">
        <v>4804</v>
      </c>
      <c r="E2032" s="6" t="s">
        <v>2603</v>
      </c>
      <c r="F2032" s="6" t="s">
        <v>16</v>
      </c>
      <c r="G2032" s="6" t="s">
        <v>837</v>
      </c>
      <c r="H2032" s="6"/>
      <c r="I2032" s="6"/>
      <c r="J2032" s="6" t="s">
        <v>19</v>
      </c>
      <c r="K2032" s="6"/>
    </row>
    <row r="2033" customFormat="false" ht="12.8" hidden="false" customHeight="false" outlineLevel="0" collapsed="false">
      <c r="A2033" s="6" t="str">
        <f aca="false">HYPERLINK("https://www.fabsurplus.com/sdi_catalog/salesItemDetails.do?id=98652")</f>
        <v>https://www.fabsurplus.com/sdi_catalog/salesItemDetails.do?id=98652</v>
      </c>
      <c r="B2033" s="6" t="s">
        <v>4814</v>
      </c>
      <c r="C2033" s="6" t="s">
        <v>4782</v>
      </c>
      <c r="D2033" s="6" t="s">
        <v>4804</v>
      </c>
      <c r="E2033" s="6" t="s">
        <v>2603</v>
      </c>
      <c r="F2033" s="6" t="s">
        <v>16</v>
      </c>
      <c r="G2033" s="6" t="s">
        <v>837</v>
      </c>
      <c r="H2033" s="6"/>
      <c r="I2033" s="6"/>
      <c r="J2033" s="6" t="s">
        <v>19</v>
      </c>
      <c r="K2033" s="6"/>
    </row>
    <row r="2034" customFormat="false" ht="12.8" hidden="false" customHeight="false" outlineLevel="0" collapsed="false">
      <c r="A2034" s="6" t="str">
        <f aca="false">HYPERLINK("https://www.fabsurplus.com/sdi_catalog/salesItemDetails.do?id=98651")</f>
        <v>https://www.fabsurplus.com/sdi_catalog/salesItemDetails.do?id=98651</v>
      </c>
      <c r="B2034" s="6" t="s">
        <v>4815</v>
      </c>
      <c r="C2034" s="6" t="s">
        <v>4782</v>
      </c>
      <c r="D2034" s="6" t="s">
        <v>4804</v>
      </c>
      <c r="E2034" s="6" t="s">
        <v>2603</v>
      </c>
      <c r="F2034" s="6" t="s">
        <v>16</v>
      </c>
      <c r="G2034" s="6" t="s">
        <v>837</v>
      </c>
      <c r="H2034" s="6"/>
      <c r="I2034" s="6"/>
      <c r="J2034" s="6" t="s">
        <v>19</v>
      </c>
      <c r="K2034" s="6"/>
    </row>
    <row r="2035" customFormat="false" ht="12.8" hidden="false" customHeight="false" outlineLevel="0" collapsed="false">
      <c r="A2035" s="6" t="str">
        <f aca="false">HYPERLINK("https://www.fabsurplus.com/sdi_catalog/salesItemDetails.do?id=98650")</f>
        <v>https://www.fabsurplus.com/sdi_catalog/salesItemDetails.do?id=98650</v>
      </c>
      <c r="B2035" s="6" t="s">
        <v>4816</v>
      </c>
      <c r="C2035" s="6" t="s">
        <v>4782</v>
      </c>
      <c r="D2035" s="6" t="s">
        <v>4804</v>
      </c>
      <c r="E2035" s="6" t="s">
        <v>2603</v>
      </c>
      <c r="F2035" s="6" t="s">
        <v>16</v>
      </c>
      <c r="G2035" s="6" t="s">
        <v>837</v>
      </c>
      <c r="H2035" s="6"/>
      <c r="I2035" s="6"/>
      <c r="J2035" s="6" t="s">
        <v>19</v>
      </c>
      <c r="K2035" s="6"/>
    </row>
    <row r="2036" customFormat="false" ht="12.8" hidden="false" customHeight="false" outlineLevel="0" collapsed="false">
      <c r="A2036" s="6" t="str">
        <f aca="false">HYPERLINK("https://www.fabsurplus.com/sdi_catalog/salesItemDetails.do?id=98649")</f>
        <v>https://www.fabsurplus.com/sdi_catalog/salesItemDetails.do?id=98649</v>
      </c>
      <c r="B2036" s="6" t="s">
        <v>4817</v>
      </c>
      <c r="C2036" s="6" t="s">
        <v>4782</v>
      </c>
      <c r="D2036" s="6" t="s">
        <v>4804</v>
      </c>
      <c r="E2036" s="6" t="s">
        <v>2603</v>
      </c>
      <c r="F2036" s="6" t="s">
        <v>16</v>
      </c>
      <c r="G2036" s="6" t="s">
        <v>837</v>
      </c>
      <c r="H2036" s="6"/>
      <c r="I2036" s="6"/>
      <c r="J2036" s="6" t="s">
        <v>19</v>
      </c>
      <c r="K2036" s="6"/>
    </row>
    <row r="2037" customFormat="false" ht="12.8" hidden="false" customHeight="false" outlineLevel="0" collapsed="false">
      <c r="A2037" s="6" t="str">
        <f aca="false">HYPERLINK("https://www.fabsurplus.com/sdi_catalog/salesItemDetails.do?id=98648")</f>
        <v>https://www.fabsurplus.com/sdi_catalog/salesItemDetails.do?id=98648</v>
      </c>
      <c r="B2037" s="6" t="s">
        <v>4818</v>
      </c>
      <c r="C2037" s="6" t="s">
        <v>4782</v>
      </c>
      <c r="D2037" s="6" t="s">
        <v>4804</v>
      </c>
      <c r="E2037" s="6" t="s">
        <v>2603</v>
      </c>
      <c r="F2037" s="6" t="s">
        <v>16</v>
      </c>
      <c r="G2037" s="6" t="s">
        <v>837</v>
      </c>
      <c r="H2037" s="6"/>
      <c r="I2037" s="6"/>
      <c r="J2037" s="6" t="s">
        <v>19</v>
      </c>
      <c r="K2037" s="6"/>
    </row>
    <row r="2038" customFormat="false" ht="12.8" hidden="false" customHeight="false" outlineLevel="0" collapsed="false">
      <c r="A2038" s="6" t="str">
        <f aca="false">HYPERLINK("https://www.fabsurplus.com/sdi_catalog/salesItemDetails.do?id=98647")</f>
        <v>https://www.fabsurplus.com/sdi_catalog/salesItemDetails.do?id=98647</v>
      </c>
      <c r="B2038" s="6" t="s">
        <v>4819</v>
      </c>
      <c r="C2038" s="6" t="s">
        <v>4782</v>
      </c>
      <c r="D2038" s="6" t="s">
        <v>4804</v>
      </c>
      <c r="E2038" s="6" t="s">
        <v>2603</v>
      </c>
      <c r="F2038" s="6" t="s">
        <v>16</v>
      </c>
      <c r="G2038" s="6" t="s">
        <v>837</v>
      </c>
      <c r="H2038" s="6"/>
      <c r="I2038" s="6"/>
      <c r="J2038" s="6" t="s">
        <v>19</v>
      </c>
      <c r="K2038" s="6"/>
    </row>
    <row r="2039" customFormat="false" ht="12.8" hidden="false" customHeight="false" outlineLevel="0" collapsed="false">
      <c r="A2039" s="6" t="str">
        <f aca="false">HYPERLINK("https://www.fabsurplus.com/sdi_catalog/salesItemDetails.do?id=98646")</f>
        <v>https://www.fabsurplus.com/sdi_catalog/salesItemDetails.do?id=98646</v>
      </c>
      <c r="B2039" s="6" t="s">
        <v>4820</v>
      </c>
      <c r="C2039" s="6" t="s">
        <v>4782</v>
      </c>
      <c r="D2039" s="6" t="s">
        <v>4804</v>
      </c>
      <c r="E2039" s="6" t="s">
        <v>2603</v>
      </c>
      <c r="F2039" s="6" t="s">
        <v>16</v>
      </c>
      <c r="G2039" s="6" t="s">
        <v>837</v>
      </c>
      <c r="H2039" s="6"/>
      <c r="I2039" s="6"/>
      <c r="J2039" s="6" t="s">
        <v>19</v>
      </c>
      <c r="K2039" s="6"/>
    </row>
    <row r="2040" customFormat="false" ht="12.8" hidden="false" customHeight="false" outlineLevel="0" collapsed="false">
      <c r="A2040" s="8" t="str">
        <f aca="false">HYPERLINK("https://www.fabsurplus.com/sdi_catalog/salesItemDetails.do?id=98645")</f>
        <v>https://www.fabsurplus.com/sdi_catalog/salesItemDetails.do?id=98645</v>
      </c>
      <c r="B2040" s="8" t="s">
        <v>4821</v>
      </c>
      <c r="C2040" s="8" t="s">
        <v>4782</v>
      </c>
      <c r="D2040" s="8" t="s">
        <v>4804</v>
      </c>
      <c r="E2040" s="8" t="s">
        <v>2603</v>
      </c>
      <c r="F2040" s="8" t="s">
        <v>16</v>
      </c>
      <c r="G2040" s="8" t="s">
        <v>837</v>
      </c>
      <c r="H2040" s="8"/>
      <c r="I2040" s="8"/>
      <c r="J2040" s="8" t="s">
        <v>19</v>
      </c>
      <c r="K2040" s="8"/>
    </row>
    <row r="2041" customFormat="false" ht="12.8" hidden="false" customHeight="false" outlineLevel="0" collapsed="false">
      <c r="A2041" s="6" t="str">
        <f aca="false">HYPERLINK("https://www.fabsurplus.com/sdi_catalog/salesItemDetails.do?id=98644")</f>
        <v>https://www.fabsurplus.com/sdi_catalog/salesItemDetails.do?id=98644</v>
      </c>
      <c r="B2041" s="6" t="s">
        <v>4822</v>
      </c>
      <c r="C2041" s="6" t="s">
        <v>4782</v>
      </c>
      <c r="D2041" s="6" t="s">
        <v>4804</v>
      </c>
      <c r="E2041" s="6" t="s">
        <v>2603</v>
      </c>
      <c r="F2041" s="6" t="s">
        <v>16</v>
      </c>
      <c r="G2041" s="6" t="s">
        <v>837</v>
      </c>
      <c r="H2041" s="6"/>
      <c r="I2041" s="6"/>
      <c r="J2041" s="6" t="s">
        <v>19</v>
      </c>
      <c r="K2041" s="6"/>
    </row>
    <row r="2042" customFormat="false" ht="12.8" hidden="false" customHeight="false" outlineLevel="0" collapsed="false">
      <c r="A2042" s="8" t="str">
        <f aca="false">HYPERLINK("https://www.fabsurplus.com/sdi_catalog/salesItemDetails.do?id=98643")</f>
        <v>https://www.fabsurplus.com/sdi_catalog/salesItemDetails.do?id=98643</v>
      </c>
      <c r="B2042" s="8" t="s">
        <v>4823</v>
      </c>
      <c r="C2042" s="8" t="s">
        <v>4782</v>
      </c>
      <c r="D2042" s="8" t="s">
        <v>4804</v>
      </c>
      <c r="E2042" s="8" t="s">
        <v>2603</v>
      </c>
      <c r="F2042" s="8" t="s">
        <v>16</v>
      </c>
      <c r="G2042" s="8" t="s">
        <v>837</v>
      </c>
      <c r="H2042" s="8"/>
      <c r="I2042" s="8"/>
      <c r="J2042" s="8" t="s">
        <v>19</v>
      </c>
      <c r="K2042" s="8"/>
    </row>
    <row r="2043" customFormat="false" ht="12.8" hidden="false" customHeight="false" outlineLevel="0" collapsed="false">
      <c r="A2043" s="6" t="str">
        <f aca="false">HYPERLINK("https://www.fabsurplus.com/sdi_catalog/salesItemDetails.do?id=98642")</f>
        <v>https://www.fabsurplus.com/sdi_catalog/salesItemDetails.do?id=98642</v>
      </c>
      <c r="B2043" s="6" t="s">
        <v>4824</v>
      </c>
      <c r="C2043" s="6" t="s">
        <v>4782</v>
      </c>
      <c r="D2043" s="6" t="s">
        <v>4804</v>
      </c>
      <c r="E2043" s="6" t="s">
        <v>2603</v>
      </c>
      <c r="F2043" s="6" t="s">
        <v>16</v>
      </c>
      <c r="G2043" s="6" t="s">
        <v>837</v>
      </c>
      <c r="H2043" s="6"/>
      <c r="I2043" s="6"/>
      <c r="J2043" s="6" t="s">
        <v>19</v>
      </c>
      <c r="K2043" s="6"/>
    </row>
    <row r="2044" customFormat="false" ht="12.8" hidden="false" customHeight="false" outlineLevel="0" collapsed="false">
      <c r="A2044" s="8" t="str">
        <f aca="false">HYPERLINK("https://www.fabsurplus.com/sdi_catalog/salesItemDetails.do?id=98641")</f>
        <v>https://www.fabsurplus.com/sdi_catalog/salesItemDetails.do?id=98641</v>
      </c>
      <c r="B2044" s="8" t="s">
        <v>4825</v>
      </c>
      <c r="C2044" s="8" t="s">
        <v>4782</v>
      </c>
      <c r="D2044" s="8" t="s">
        <v>4804</v>
      </c>
      <c r="E2044" s="8" t="s">
        <v>2603</v>
      </c>
      <c r="F2044" s="8" t="s">
        <v>16</v>
      </c>
      <c r="G2044" s="8" t="s">
        <v>837</v>
      </c>
      <c r="H2044" s="8"/>
      <c r="I2044" s="8"/>
      <c r="J2044" s="8" t="s">
        <v>19</v>
      </c>
      <c r="K2044" s="8"/>
    </row>
    <row r="2045" customFormat="false" ht="12.8" hidden="false" customHeight="false" outlineLevel="0" collapsed="false">
      <c r="A2045" s="6" t="str">
        <f aca="false">HYPERLINK("https://www.fabsurplus.com/sdi_catalog/salesItemDetails.do?id=98670")</f>
        <v>https://www.fabsurplus.com/sdi_catalog/salesItemDetails.do?id=98670</v>
      </c>
      <c r="B2045" s="6" t="s">
        <v>4826</v>
      </c>
      <c r="C2045" s="6" t="s">
        <v>4782</v>
      </c>
      <c r="D2045" s="6" t="s">
        <v>4827</v>
      </c>
      <c r="E2045" s="6" t="s">
        <v>4828</v>
      </c>
      <c r="F2045" s="6" t="s">
        <v>16</v>
      </c>
      <c r="G2045" s="6" t="s">
        <v>837</v>
      </c>
      <c r="H2045" s="6"/>
      <c r="I2045" s="6"/>
      <c r="J2045" s="6" t="s">
        <v>19</v>
      </c>
      <c r="K2045" s="6"/>
    </row>
    <row r="2046" customFormat="false" ht="12.8" hidden="false" customHeight="false" outlineLevel="0" collapsed="false">
      <c r="A2046" s="8" t="str">
        <f aca="false">HYPERLINK("https://www.fabsurplus.com/sdi_catalog/salesItemDetails.do?id=98669")</f>
        <v>https://www.fabsurplus.com/sdi_catalog/salesItemDetails.do?id=98669</v>
      </c>
      <c r="B2046" s="8" t="s">
        <v>4829</v>
      </c>
      <c r="C2046" s="8" t="s">
        <v>4782</v>
      </c>
      <c r="D2046" s="8" t="s">
        <v>4827</v>
      </c>
      <c r="E2046" s="8" t="s">
        <v>4828</v>
      </c>
      <c r="F2046" s="8" t="s">
        <v>16</v>
      </c>
      <c r="G2046" s="8" t="s">
        <v>837</v>
      </c>
      <c r="H2046" s="8"/>
      <c r="I2046" s="8"/>
      <c r="J2046" s="8" t="s">
        <v>19</v>
      </c>
      <c r="K2046" s="8"/>
    </row>
    <row r="2047" customFormat="false" ht="12.8" hidden="false" customHeight="false" outlineLevel="0" collapsed="false">
      <c r="A2047" s="6" t="str">
        <f aca="false">HYPERLINK("https://www.fabsurplus.com/sdi_catalog/salesItemDetails.do?id=98668")</f>
        <v>https://www.fabsurplus.com/sdi_catalog/salesItemDetails.do?id=98668</v>
      </c>
      <c r="B2047" s="6" t="s">
        <v>4830</v>
      </c>
      <c r="C2047" s="6" t="s">
        <v>4782</v>
      </c>
      <c r="D2047" s="6" t="s">
        <v>4827</v>
      </c>
      <c r="E2047" s="6" t="s">
        <v>4828</v>
      </c>
      <c r="F2047" s="6" t="s">
        <v>16</v>
      </c>
      <c r="G2047" s="6" t="s">
        <v>837</v>
      </c>
      <c r="H2047" s="6"/>
      <c r="I2047" s="6"/>
      <c r="J2047" s="6" t="s">
        <v>19</v>
      </c>
      <c r="K2047" s="6"/>
    </row>
    <row r="2048" customFormat="false" ht="12.8" hidden="false" customHeight="false" outlineLevel="0" collapsed="false">
      <c r="A2048" s="8" t="str">
        <f aca="false">HYPERLINK("https://www.fabsurplus.com/sdi_catalog/salesItemDetails.do?id=98667")</f>
        <v>https://www.fabsurplus.com/sdi_catalog/salesItemDetails.do?id=98667</v>
      </c>
      <c r="B2048" s="8" t="s">
        <v>4831</v>
      </c>
      <c r="C2048" s="8" t="s">
        <v>4782</v>
      </c>
      <c r="D2048" s="8" t="s">
        <v>4827</v>
      </c>
      <c r="E2048" s="8" t="s">
        <v>4828</v>
      </c>
      <c r="F2048" s="8" t="s">
        <v>16</v>
      </c>
      <c r="G2048" s="8" t="s">
        <v>837</v>
      </c>
      <c r="H2048" s="8"/>
      <c r="I2048" s="8"/>
      <c r="J2048" s="8" t="s">
        <v>19</v>
      </c>
      <c r="K2048" s="8"/>
    </row>
    <row r="2049" customFormat="false" ht="12.8" hidden="false" customHeight="false" outlineLevel="0" collapsed="false">
      <c r="A2049" s="6" t="str">
        <f aca="false">HYPERLINK("https://www.fabsurplus.com/sdi_catalog/salesItemDetails.do?id=98666")</f>
        <v>https://www.fabsurplus.com/sdi_catalog/salesItemDetails.do?id=98666</v>
      </c>
      <c r="B2049" s="6" t="s">
        <v>4832</v>
      </c>
      <c r="C2049" s="6" t="s">
        <v>4782</v>
      </c>
      <c r="D2049" s="6" t="s">
        <v>4827</v>
      </c>
      <c r="E2049" s="6" t="s">
        <v>4828</v>
      </c>
      <c r="F2049" s="6" t="s">
        <v>16</v>
      </c>
      <c r="G2049" s="6" t="s">
        <v>837</v>
      </c>
      <c r="H2049" s="6"/>
      <c r="I2049" s="6"/>
      <c r="J2049" s="6" t="s">
        <v>19</v>
      </c>
      <c r="K2049" s="6"/>
    </row>
    <row r="2050" customFormat="false" ht="12.8" hidden="false" customHeight="false" outlineLevel="0" collapsed="false">
      <c r="A2050" s="8" t="str">
        <f aca="false">HYPERLINK("https://www.fabsurplus.com/sdi_catalog/salesItemDetails.do?id=98665")</f>
        <v>https://www.fabsurplus.com/sdi_catalog/salesItemDetails.do?id=98665</v>
      </c>
      <c r="B2050" s="8" t="s">
        <v>4833</v>
      </c>
      <c r="C2050" s="8" t="s">
        <v>4782</v>
      </c>
      <c r="D2050" s="8" t="s">
        <v>4827</v>
      </c>
      <c r="E2050" s="8" t="s">
        <v>4828</v>
      </c>
      <c r="F2050" s="8" t="s">
        <v>16</v>
      </c>
      <c r="G2050" s="8" t="s">
        <v>837</v>
      </c>
      <c r="H2050" s="8"/>
      <c r="I2050" s="8"/>
      <c r="J2050" s="8" t="s">
        <v>19</v>
      </c>
      <c r="K2050" s="8"/>
    </row>
    <row r="2051" customFormat="false" ht="12.8" hidden="false" customHeight="false" outlineLevel="0" collapsed="false">
      <c r="A2051" s="8" t="str">
        <f aca="false">HYPERLINK("https://www.fabsurplus.com/sdi_catalog/salesItemDetails.do?id=98664")</f>
        <v>https://www.fabsurplus.com/sdi_catalog/salesItemDetails.do?id=98664</v>
      </c>
      <c r="B2051" s="8" t="s">
        <v>4834</v>
      </c>
      <c r="C2051" s="8" t="s">
        <v>4782</v>
      </c>
      <c r="D2051" s="8" t="s">
        <v>4827</v>
      </c>
      <c r="E2051" s="8" t="s">
        <v>4828</v>
      </c>
      <c r="F2051" s="8" t="s">
        <v>16</v>
      </c>
      <c r="G2051" s="8" t="s">
        <v>837</v>
      </c>
      <c r="H2051" s="8"/>
      <c r="I2051" s="8"/>
      <c r="J2051" s="8" t="s">
        <v>19</v>
      </c>
      <c r="K2051" s="8"/>
    </row>
    <row r="2052" customFormat="false" ht="12.8" hidden="false" customHeight="false" outlineLevel="0" collapsed="false">
      <c r="A2052" s="6" t="str">
        <f aca="false">HYPERLINK("https://www.fabsurplus.com/sdi_catalog/salesItemDetails.do?id=98663")</f>
        <v>https://www.fabsurplus.com/sdi_catalog/salesItemDetails.do?id=98663</v>
      </c>
      <c r="B2052" s="6" t="s">
        <v>4835</v>
      </c>
      <c r="C2052" s="6" t="s">
        <v>4782</v>
      </c>
      <c r="D2052" s="6" t="s">
        <v>4827</v>
      </c>
      <c r="E2052" s="6" t="s">
        <v>4828</v>
      </c>
      <c r="F2052" s="6" t="s">
        <v>16</v>
      </c>
      <c r="G2052" s="6" t="s">
        <v>837</v>
      </c>
      <c r="H2052" s="6"/>
      <c r="I2052" s="6"/>
      <c r="J2052" s="6" t="s">
        <v>19</v>
      </c>
      <c r="K2052" s="6"/>
    </row>
    <row r="2053" customFormat="false" ht="12.8" hidden="false" customHeight="false" outlineLevel="0" collapsed="false">
      <c r="A2053" s="8" t="str">
        <f aca="false">HYPERLINK("https://www.fabsurplus.com/sdi_catalog/salesItemDetails.do?id=98685")</f>
        <v>https://www.fabsurplus.com/sdi_catalog/salesItemDetails.do?id=98685</v>
      </c>
      <c r="B2053" s="8" t="s">
        <v>4836</v>
      </c>
      <c r="C2053" s="8" t="s">
        <v>4782</v>
      </c>
      <c r="D2053" s="8" t="s">
        <v>4837</v>
      </c>
      <c r="E2053" s="8" t="s">
        <v>4828</v>
      </c>
      <c r="F2053" s="8" t="s">
        <v>16</v>
      </c>
      <c r="G2053" s="8" t="s">
        <v>837</v>
      </c>
      <c r="H2053" s="8"/>
      <c r="I2053" s="8"/>
      <c r="J2053" s="8" t="s">
        <v>19</v>
      </c>
      <c r="K2053" s="8"/>
    </row>
    <row r="2054" customFormat="false" ht="12.8" hidden="false" customHeight="false" outlineLevel="0" collapsed="false">
      <c r="A2054" s="6" t="str">
        <f aca="false">HYPERLINK("https://www.fabsurplus.com/sdi_catalog/salesItemDetails.do?id=98684")</f>
        <v>https://www.fabsurplus.com/sdi_catalog/salesItemDetails.do?id=98684</v>
      </c>
      <c r="B2054" s="6" t="s">
        <v>4838</v>
      </c>
      <c r="C2054" s="6" t="s">
        <v>4782</v>
      </c>
      <c r="D2054" s="6" t="s">
        <v>4837</v>
      </c>
      <c r="E2054" s="6" t="s">
        <v>4828</v>
      </c>
      <c r="F2054" s="6" t="s">
        <v>16</v>
      </c>
      <c r="G2054" s="6" t="s">
        <v>837</v>
      </c>
      <c r="H2054" s="6"/>
      <c r="I2054" s="6"/>
      <c r="J2054" s="6" t="s">
        <v>19</v>
      </c>
      <c r="K2054" s="6"/>
    </row>
    <row r="2055" customFormat="false" ht="12.8" hidden="false" customHeight="false" outlineLevel="0" collapsed="false">
      <c r="A2055" s="8" t="str">
        <f aca="false">HYPERLINK("https://www.fabsurplus.com/sdi_catalog/salesItemDetails.do?id=98683")</f>
        <v>https://www.fabsurplus.com/sdi_catalog/salesItemDetails.do?id=98683</v>
      </c>
      <c r="B2055" s="8" t="s">
        <v>4839</v>
      </c>
      <c r="C2055" s="8" t="s">
        <v>4782</v>
      </c>
      <c r="D2055" s="8" t="s">
        <v>4837</v>
      </c>
      <c r="E2055" s="8" t="s">
        <v>4828</v>
      </c>
      <c r="F2055" s="8" t="s">
        <v>16</v>
      </c>
      <c r="G2055" s="8" t="s">
        <v>837</v>
      </c>
      <c r="H2055" s="8"/>
      <c r="I2055" s="8"/>
      <c r="J2055" s="8" t="s">
        <v>19</v>
      </c>
      <c r="K2055" s="8"/>
    </row>
    <row r="2056" customFormat="false" ht="12.8" hidden="false" customHeight="false" outlineLevel="0" collapsed="false">
      <c r="A2056" s="6" t="str">
        <f aca="false">HYPERLINK("https://www.fabsurplus.com/sdi_catalog/salesItemDetails.do?id=98682")</f>
        <v>https://www.fabsurplus.com/sdi_catalog/salesItemDetails.do?id=98682</v>
      </c>
      <c r="B2056" s="6" t="s">
        <v>4840</v>
      </c>
      <c r="C2056" s="6" t="s">
        <v>4782</v>
      </c>
      <c r="D2056" s="6" t="s">
        <v>4837</v>
      </c>
      <c r="E2056" s="6" t="s">
        <v>4828</v>
      </c>
      <c r="F2056" s="6" t="s">
        <v>16</v>
      </c>
      <c r="G2056" s="6" t="s">
        <v>837</v>
      </c>
      <c r="H2056" s="6"/>
      <c r="I2056" s="6"/>
      <c r="J2056" s="6" t="s">
        <v>19</v>
      </c>
      <c r="K2056" s="6"/>
    </row>
    <row r="2057" customFormat="false" ht="12.8" hidden="false" customHeight="false" outlineLevel="0" collapsed="false">
      <c r="A2057" s="8" t="str">
        <f aca="false">HYPERLINK("https://www.fabsurplus.com/sdi_catalog/salesItemDetails.do?id=98681")</f>
        <v>https://www.fabsurplus.com/sdi_catalog/salesItemDetails.do?id=98681</v>
      </c>
      <c r="B2057" s="8" t="s">
        <v>4841</v>
      </c>
      <c r="C2057" s="8" t="s">
        <v>4782</v>
      </c>
      <c r="D2057" s="8" t="s">
        <v>4837</v>
      </c>
      <c r="E2057" s="8" t="s">
        <v>4828</v>
      </c>
      <c r="F2057" s="8" t="s">
        <v>16</v>
      </c>
      <c r="G2057" s="8" t="s">
        <v>837</v>
      </c>
      <c r="H2057" s="8"/>
      <c r="I2057" s="8"/>
      <c r="J2057" s="8" t="s">
        <v>19</v>
      </c>
      <c r="K2057" s="8"/>
    </row>
    <row r="2058" customFormat="false" ht="12.8" hidden="false" customHeight="false" outlineLevel="0" collapsed="false">
      <c r="A2058" s="6" t="str">
        <f aca="false">HYPERLINK("https://www.fabsurplus.com/sdi_catalog/salesItemDetails.do?id=98680")</f>
        <v>https://www.fabsurplus.com/sdi_catalog/salesItemDetails.do?id=98680</v>
      </c>
      <c r="B2058" s="6" t="s">
        <v>4842</v>
      </c>
      <c r="C2058" s="6" t="s">
        <v>4782</v>
      </c>
      <c r="D2058" s="6" t="s">
        <v>4837</v>
      </c>
      <c r="E2058" s="6" t="s">
        <v>4828</v>
      </c>
      <c r="F2058" s="6" t="s">
        <v>16</v>
      </c>
      <c r="G2058" s="6" t="s">
        <v>837</v>
      </c>
      <c r="H2058" s="6"/>
      <c r="I2058" s="6"/>
      <c r="J2058" s="6" t="s">
        <v>19</v>
      </c>
      <c r="K2058" s="6"/>
    </row>
    <row r="2059" customFormat="false" ht="12.8" hidden="false" customHeight="false" outlineLevel="0" collapsed="false">
      <c r="A2059" s="8" t="str">
        <f aca="false">HYPERLINK("https://www.fabsurplus.com/sdi_catalog/salesItemDetails.do?id=98679")</f>
        <v>https://www.fabsurplus.com/sdi_catalog/salesItemDetails.do?id=98679</v>
      </c>
      <c r="B2059" s="8" t="s">
        <v>4843</v>
      </c>
      <c r="C2059" s="8" t="s">
        <v>4782</v>
      </c>
      <c r="D2059" s="8" t="s">
        <v>4837</v>
      </c>
      <c r="E2059" s="8" t="s">
        <v>4828</v>
      </c>
      <c r="F2059" s="8" t="s">
        <v>16</v>
      </c>
      <c r="G2059" s="8" t="s">
        <v>837</v>
      </c>
      <c r="H2059" s="8"/>
      <c r="I2059" s="8"/>
      <c r="J2059" s="8" t="s">
        <v>19</v>
      </c>
      <c r="K2059" s="8"/>
    </row>
    <row r="2060" customFormat="false" ht="12.8" hidden="false" customHeight="false" outlineLevel="0" collapsed="false">
      <c r="A2060" s="6" t="str">
        <f aca="false">HYPERLINK("https://www.fabsurplus.com/sdi_catalog/salesItemDetails.do?id=98678")</f>
        <v>https://www.fabsurplus.com/sdi_catalog/salesItemDetails.do?id=98678</v>
      </c>
      <c r="B2060" s="6" t="s">
        <v>4844</v>
      </c>
      <c r="C2060" s="6" t="s">
        <v>4782</v>
      </c>
      <c r="D2060" s="6" t="s">
        <v>4837</v>
      </c>
      <c r="E2060" s="6" t="s">
        <v>4828</v>
      </c>
      <c r="F2060" s="6" t="s">
        <v>16</v>
      </c>
      <c r="G2060" s="6" t="s">
        <v>837</v>
      </c>
      <c r="H2060" s="6"/>
      <c r="I2060" s="6"/>
      <c r="J2060" s="6" t="s">
        <v>19</v>
      </c>
      <c r="K2060" s="6"/>
    </row>
    <row r="2061" customFormat="false" ht="12.8" hidden="false" customHeight="false" outlineLevel="0" collapsed="false">
      <c r="A2061" s="8" t="str">
        <f aca="false">HYPERLINK("https://www.fabsurplus.com/sdi_catalog/salesItemDetails.do?id=98677")</f>
        <v>https://www.fabsurplus.com/sdi_catalog/salesItemDetails.do?id=98677</v>
      </c>
      <c r="B2061" s="8" t="s">
        <v>4845</v>
      </c>
      <c r="C2061" s="8" t="s">
        <v>4782</v>
      </c>
      <c r="D2061" s="8" t="s">
        <v>4837</v>
      </c>
      <c r="E2061" s="8" t="s">
        <v>4828</v>
      </c>
      <c r="F2061" s="8" t="s">
        <v>16</v>
      </c>
      <c r="G2061" s="8" t="s">
        <v>837</v>
      </c>
      <c r="H2061" s="8"/>
      <c r="I2061" s="8"/>
      <c r="J2061" s="8" t="s">
        <v>19</v>
      </c>
      <c r="K2061" s="8"/>
    </row>
    <row r="2062" customFormat="false" ht="12.8" hidden="false" customHeight="false" outlineLevel="0" collapsed="false">
      <c r="A2062" s="6" t="str">
        <f aca="false">HYPERLINK("https://www.fabsurplus.com/sdi_catalog/salesItemDetails.do?id=98676")</f>
        <v>https://www.fabsurplus.com/sdi_catalog/salesItemDetails.do?id=98676</v>
      </c>
      <c r="B2062" s="6" t="s">
        <v>4846</v>
      </c>
      <c r="C2062" s="6" t="s">
        <v>4782</v>
      </c>
      <c r="D2062" s="6" t="s">
        <v>4837</v>
      </c>
      <c r="E2062" s="6" t="s">
        <v>4828</v>
      </c>
      <c r="F2062" s="6" t="s">
        <v>16</v>
      </c>
      <c r="G2062" s="6" t="s">
        <v>837</v>
      </c>
      <c r="H2062" s="6"/>
      <c r="I2062" s="6"/>
      <c r="J2062" s="6" t="s">
        <v>19</v>
      </c>
      <c r="K2062" s="6"/>
    </row>
    <row r="2063" customFormat="false" ht="12.8" hidden="false" customHeight="false" outlineLevel="0" collapsed="false">
      <c r="A2063" s="8" t="str">
        <f aca="false">HYPERLINK("https://www.fabsurplus.com/sdi_catalog/salesItemDetails.do?id=98675")</f>
        <v>https://www.fabsurplus.com/sdi_catalog/salesItemDetails.do?id=98675</v>
      </c>
      <c r="B2063" s="8" t="s">
        <v>4847</v>
      </c>
      <c r="C2063" s="8" t="s">
        <v>4782</v>
      </c>
      <c r="D2063" s="8" t="s">
        <v>4837</v>
      </c>
      <c r="E2063" s="8" t="s">
        <v>4828</v>
      </c>
      <c r="F2063" s="8" t="s">
        <v>16</v>
      </c>
      <c r="G2063" s="8" t="s">
        <v>837</v>
      </c>
      <c r="H2063" s="8"/>
      <c r="I2063" s="8"/>
      <c r="J2063" s="8" t="s">
        <v>19</v>
      </c>
      <c r="K2063" s="8"/>
    </row>
    <row r="2064" customFormat="false" ht="12.8" hidden="false" customHeight="false" outlineLevel="0" collapsed="false">
      <c r="A2064" s="6" t="str">
        <f aca="false">HYPERLINK("https://www.fabsurplus.com/sdi_catalog/salesItemDetails.do?id=98674")</f>
        <v>https://www.fabsurplus.com/sdi_catalog/salesItemDetails.do?id=98674</v>
      </c>
      <c r="B2064" s="6" t="s">
        <v>4848</v>
      </c>
      <c r="C2064" s="6" t="s">
        <v>4782</v>
      </c>
      <c r="D2064" s="6" t="s">
        <v>4837</v>
      </c>
      <c r="E2064" s="6" t="s">
        <v>4828</v>
      </c>
      <c r="F2064" s="6" t="s">
        <v>16</v>
      </c>
      <c r="G2064" s="6" t="s">
        <v>837</v>
      </c>
      <c r="H2064" s="6"/>
      <c r="I2064" s="6"/>
      <c r="J2064" s="6" t="s">
        <v>19</v>
      </c>
      <c r="K2064" s="6"/>
    </row>
    <row r="2065" customFormat="false" ht="12.8" hidden="false" customHeight="false" outlineLevel="0" collapsed="false">
      <c r="A2065" s="8" t="str">
        <f aca="false">HYPERLINK("https://www.fabsurplus.com/sdi_catalog/salesItemDetails.do?id=98673")</f>
        <v>https://www.fabsurplus.com/sdi_catalog/salesItemDetails.do?id=98673</v>
      </c>
      <c r="B2065" s="8" t="s">
        <v>4849</v>
      </c>
      <c r="C2065" s="8" t="s">
        <v>4782</v>
      </c>
      <c r="D2065" s="8" t="s">
        <v>4837</v>
      </c>
      <c r="E2065" s="8" t="s">
        <v>4828</v>
      </c>
      <c r="F2065" s="8" t="s">
        <v>16</v>
      </c>
      <c r="G2065" s="8" t="s">
        <v>837</v>
      </c>
      <c r="H2065" s="8"/>
      <c r="I2065" s="8"/>
      <c r="J2065" s="8" t="s">
        <v>19</v>
      </c>
      <c r="K2065" s="8"/>
    </row>
    <row r="2066" customFormat="false" ht="12.8" hidden="false" customHeight="false" outlineLevel="0" collapsed="false">
      <c r="A2066" s="6" t="str">
        <f aca="false">HYPERLINK("https://www.fabsurplus.com/sdi_catalog/salesItemDetails.do?id=98672")</f>
        <v>https://www.fabsurplus.com/sdi_catalog/salesItemDetails.do?id=98672</v>
      </c>
      <c r="B2066" s="6" t="s">
        <v>4850</v>
      </c>
      <c r="C2066" s="6" t="s">
        <v>4782</v>
      </c>
      <c r="D2066" s="6" t="s">
        <v>4837</v>
      </c>
      <c r="E2066" s="6" t="s">
        <v>4828</v>
      </c>
      <c r="F2066" s="6" t="s">
        <v>16</v>
      </c>
      <c r="G2066" s="6" t="s">
        <v>837</v>
      </c>
      <c r="H2066" s="6"/>
      <c r="I2066" s="6"/>
      <c r="J2066" s="6" t="s">
        <v>19</v>
      </c>
      <c r="K2066" s="6"/>
    </row>
    <row r="2067" customFormat="false" ht="12.8" hidden="false" customHeight="false" outlineLevel="0" collapsed="false">
      <c r="A2067" s="8" t="str">
        <f aca="false">HYPERLINK("https://www.fabsurplus.com/sdi_catalog/salesItemDetails.do?id=98671")</f>
        <v>https://www.fabsurplus.com/sdi_catalog/salesItemDetails.do?id=98671</v>
      </c>
      <c r="B2067" s="8" t="s">
        <v>4851</v>
      </c>
      <c r="C2067" s="8" t="s">
        <v>4782</v>
      </c>
      <c r="D2067" s="8" t="s">
        <v>4837</v>
      </c>
      <c r="E2067" s="8" t="s">
        <v>4828</v>
      </c>
      <c r="F2067" s="8" t="s">
        <v>16</v>
      </c>
      <c r="G2067" s="8" t="s">
        <v>837</v>
      </c>
      <c r="H2067" s="8"/>
      <c r="I2067" s="8"/>
      <c r="J2067" s="8" t="s">
        <v>19</v>
      </c>
      <c r="K2067" s="8"/>
    </row>
    <row r="2068" customFormat="false" ht="12.8" hidden="false" customHeight="false" outlineLevel="0" collapsed="false">
      <c r="A2068" s="6" t="str">
        <f aca="false">HYPERLINK("https://www.fabsurplus.com/sdi_catalog/salesItemDetails.do?id=98700")</f>
        <v>https://www.fabsurplus.com/sdi_catalog/salesItemDetails.do?id=98700</v>
      </c>
      <c r="B2068" s="6" t="s">
        <v>4852</v>
      </c>
      <c r="C2068" s="6" t="s">
        <v>4782</v>
      </c>
      <c r="D2068" s="6" t="s">
        <v>4853</v>
      </c>
      <c r="E2068" s="6" t="s">
        <v>4828</v>
      </c>
      <c r="F2068" s="6" t="s">
        <v>16</v>
      </c>
      <c r="G2068" s="6" t="s">
        <v>837</v>
      </c>
      <c r="H2068" s="6"/>
      <c r="I2068" s="6"/>
      <c r="J2068" s="6" t="s">
        <v>19</v>
      </c>
      <c r="K2068" s="6"/>
    </row>
    <row r="2069" customFormat="false" ht="12.8" hidden="false" customHeight="false" outlineLevel="0" collapsed="false">
      <c r="A2069" s="8" t="str">
        <f aca="false">HYPERLINK("https://www.fabsurplus.com/sdi_catalog/salesItemDetails.do?id=98699")</f>
        <v>https://www.fabsurplus.com/sdi_catalog/salesItemDetails.do?id=98699</v>
      </c>
      <c r="B2069" s="8" t="s">
        <v>4854</v>
      </c>
      <c r="C2069" s="8" t="s">
        <v>4782</v>
      </c>
      <c r="D2069" s="8" t="s">
        <v>4853</v>
      </c>
      <c r="E2069" s="8" t="s">
        <v>4828</v>
      </c>
      <c r="F2069" s="8" t="s">
        <v>16</v>
      </c>
      <c r="G2069" s="8" t="s">
        <v>837</v>
      </c>
      <c r="H2069" s="8"/>
      <c r="I2069" s="8"/>
      <c r="J2069" s="8" t="s">
        <v>19</v>
      </c>
      <c r="K2069" s="8"/>
    </row>
    <row r="2070" customFormat="false" ht="12.8" hidden="false" customHeight="false" outlineLevel="0" collapsed="false">
      <c r="A2070" s="6" t="str">
        <f aca="false">HYPERLINK("https://www.fabsurplus.com/sdi_catalog/salesItemDetails.do?id=98698")</f>
        <v>https://www.fabsurplus.com/sdi_catalog/salesItemDetails.do?id=98698</v>
      </c>
      <c r="B2070" s="6" t="s">
        <v>4855</v>
      </c>
      <c r="C2070" s="6" t="s">
        <v>4782</v>
      </c>
      <c r="D2070" s="6" t="s">
        <v>4853</v>
      </c>
      <c r="E2070" s="6" t="s">
        <v>4828</v>
      </c>
      <c r="F2070" s="6" t="s">
        <v>16</v>
      </c>
      <c r="G2070" s="6" t="s">
        <v>837</v>
      </c>
      <c r="H2070" s="6"/>
      <c r="I2070" s="6"/>
      <c r="J2070" s="6" t="s">
        <v>19</v>
      </c>
      <c r="K2070" s="6"/>
    </row>
    <row r="2071" customFormat="false" ht="12.8" hidden="false" customHeight="false" outlineLevel="0" collapsed="false">
      <c r="A2071" s="8" t="str">
        <f aca="false">HYPERLINK("https://www.fabsurplus.com/sdi_catalog/salesItemDetails.do?id=98697")</f>
        <v>https://www.fabsurplus.com/sdi_catalog/salesItemDetails.do?id=98697</v>
      </c>
      <c r="B2071" s="8" t="s">
        <v>4856</v>
      </c>
      <c r="C2071" s="8" t="s">
        <v>4782</v>
      </c>
      <c r="D2071" s="8" t="s">
        <v>4853</v>
      </c>
      <c r="E2071" s="8" t="s">
        <v>4828</v>
      </c>
      <c r="F2071" s="8" t="s">
        <v>16</v>
      </c>
      <c r="G2071" s="8" t="s">
        <v>837</v>
      </c>
      <c r="H2071" s="8"/>
      <c r="I2071" s="8"/>
      <c r="J2071" s="8" t="s">
        <v>19</v>
      </c>
      <c r="K2071" s="8"/>
    </row>
    <row r="2072" customFormat="false" ht="12.8" hidden="false" customHeight="false" outlineLevel="0" collapsed="false">
      <c r="A2072" s="6" t="str">
        <f aca="false">HYPERLINK("https://www.fabsurplus.com/sdi_catalog/salesItemDetails.do?id=98696")</f>
        <v>https://www.fabsurplus.com/sdi_catalog/salesItemDetails.do?id=98696</v>
      </c>
      <c r="B2072" s="6" t="s">
        <v>4857</v>
      </c>
      <c r="C2072" s="6" t="s">
        <v>4782</v>
      </c>
      <c r="D2072" s="6" t="s">
        <v>4853</v>
      </c>
      <c r="E2072" s="6" t="s">
        <v>4828</v>
      </c>
      <c r="F2072" s="6" t="s">
        <v>16</v>
      </c>
      <c r="G2072" s="6" t="s">
        <v>837</v>
      </c>
      <c r="H2072" s="6"/>
      <c r="I2072" s="6"/>
      <c r="J2072" s="6" t="s">
        <v>19</v>
      </c>
      <c r="K2072" s="6"/>
    </row>
    <row r="2073" customFormat="false" ht="12.8" hidden="false" customHeight="false" outlineLevel="0" collapsed="false">
      <c r="A2073" s="8" t="str">
        <f aca="false">HYPERLINK("https://www.fabsurplus.com/sdi_catalog/salesItemDetails.do?id=98695")</f>
        <v>https://www.fabsurplus.com/sdi_catalog/salesItemDetails.do?id=98695</v>
      </c>
      <c r="B2073" s="8" t="s">
        <v>4858</v>
      </c>
      <c r="C2073" s="8" t="s">
        <v>4782</v>
      </c>
      <c r="D2073" s="8" t="s">
        <v>4853</v>
      </c>
      <c r="E2073" s="8" t="s">
        <v>4828</v>
      </c>
      <c r="F2073" s="8" t="s">
        <v>16</v>
      </c>
      <c r="G2073" s="8" t="s">
        <v>837</v>
      </c>
      <c r="H2073" s="8"/>
      <c r="I2073" s="8"/>
      <c r="J2073" s="8" t="s">
        <v>19</v>
      </c>
      <c r="K2073" s="8"/>
    </row>
    <row r="2074" customFormat="false" ht="12.8" hidden="false" customHeight="false" outlineLevel="0" collapsed="false">
      <c r="A2074" s="6" t="str">
        <f aca="false">HYPERLINK("https://www.fabsurplus.com/sdi_catalog/salesItemDetails.do?id=98694")</f>
        <v>https://www.fabsurplus.com/sdi_catalog/salesItemDetails.do?id=98694</v>
      </c>
      <c r="B2074" s="6" t="s">
        <v>4859</v>
      </c>
      <c r="C2074" s="6" t="s">
        <v>4782</v>
      </c>
      <c r="D2074" s="6" t="s">
        <v>4853</v>
      </c>
      <c r="E2074" s="6" t="s">
        <v>4828</v>
      </c>
      <c r="F2074" s="6" t="s">
        <v>16</v>
      </c>
      <c r="G2074" s="6" t="s">
        <v>837</v>
      </c>
      <c r="H2074" s="6"/>
      <c r="I2074" s="6"/>
      <c r="J2074" s="6" t="s">
        <v>19</v>
      </c>
      <c r="K2074" s="6"/>
    </row>
    <row r="2075" customFormat="false" ht="12.8" hidden="false" customHeight="false" outlineLevel="0" collapsed="false">
      <c r="A2075" s="8" t="str">
        <f aca="false">HYPERLINK("https://www.fabsurplus.com/sdi_catalog/salesItemDetails.do?id=98693")</f>
        <v>https://www.fabsurplus.com/sdi_catalog/salesItemDetails.do?id=98693</v>
      </c>
      <c r="B2075" s="8" t="s">
        <v>4860</v>
      </c>
      <c r="C2075" s="8" t="s">
        <v>4782</v>
      </c>
      <c r="D2075" s="8" t="s">
        <v>4853</v>
      </c>
      <c r="E2075" s="8" t="s">
        <v>4828</v>
      </c>
      <c r="F2075" s="8" t="s">
        <v>16</v>
      </c>
      <c r="G2075" s="8" t="s">
        <v>837</v>
      </c>
      <c r="H2075" s="8"/>
      <c r="I2075" s="8"/>
      <c r="J2075" s="8" t="s">
        <v>19</v>
      </c>
      <c r="K2075" s="8"/>
    </row>
    <row r="2076" customFormat="false" ht="12.8" hidden="false" customHeight="false" outlineLevel="0" collapsed="false">
      <c r="A2076" s="6" t="str">
        <f aca="false">HYPERLINK("https://www.fabsurplus.com/sdi_catalog/salesItemDetails.do?id=98692")</f>
        <v>https://www.fabsurplus.com/sdi_catalog/salesItemDetails.do?id=98692</v>
      </c>
      <c r="B2076" s="6" t="s">
        <v>4861</v>
      </c>
      <c r="C2076" s="6" t="s">
        <v>4782</v>
      </c>
      <c r="D2076" s="6" t="s">
        <v>4853</v>
      </c>
      <c r="E2076" s="6" t="s">
        <v>4828</v>
      </c>
      <c r="F2076" s="6" t="s">
        <v>16</v>
      </c>
      <c r="G2076" s="6" t="s">
        <v>837</v>
      </c>
      <c r="H2076" s="6"/>
      <c r="I2076" s="6"/>
      <c r="J2076" s="6" t="s">
        <v>19</v>
      </c>
      <c r="K2076" s="6"/>
    </row>
    <row r="2077" customFormat="false" ht="12.8" hidden="false" customHeight="false" outlineLevel="0" collapsed="false">
      <c r="A2077" s="8" t="str">
        <f aca="false">HYPERLINK("https://www.fabsurplus.com/sdi_catalog/salesItemDetails.do?id=98691")</f>
        <v>https://www.fabsurplus.com/sdi_catalog/salesItemDetails.do?id=98691</v>
      </c>
      <c r="B2077" s="8" t="s">
        <v>4862</v>
      </c>
      <c r="C2077" s="8" t="s">
        <v>4782</v>
      </c>
      <c r="D2077" s="8" t="s">
        <v>4853</v>
      </c>
      <c r="E2077" s="8" t="s">
        <v>4828</v>
      </c>
      <c r="F2077" s="8" t="s">
        <v>16</v>
      </c>
      <c r="G2077" s="8" t="s">
        <v>837</v>
      </c>
      <c r="H2077" s="8"/>
      <c r="I2077" s="8"/>
      <c r="J2077" s="8" t="s">
        <v>19</v>
      </c>
      <c r="K2077" s="8"/>
    </row>
    <row r="2078" customFormat="false" ht="12.8" hidden="false" customHeight="false" outlineLevel="0" collapsed="false">
      <c r="A2078" s="6" t="str">
        <f aca="false">HYPERLINK("https://www.fabsurplus.com/sdi_catalog/salesItemDetails.do?id=98690")</f>
        <v>https://www.fabsurplus.com/sdi_catalog/salesItemDetails.do?id=98690</v>
      </c>
      <c r="B2078" s="6" t="s">
        <v>4863</v>
      </c>
      <c r="C2078" s="6" t="s">
        <v>4782</v>
      </c>
      <c r="D2078" s="6" t="s">
        <v>4853</v>
      </c>
      <c r="E2078" s="6" t="s">
        <v>4828</v>
      </c>
      <c r="F2078" s="6" t="s">
        <v>16</v>
      </c>
      <c r="G2078" s="6" t="s">
        <v>837</v>
      </c>
      <c r="H2078" s="6"/>
      <c r="I2078" s="6"/>
      <c r="J2078" s="6" t="s">
        <v>19</v>
      </c>
      <c r="K2078" s="6"/>
    </row>
    <row r="2079" customFormat="false" ht="12.8" hidden="false" customHeight="false" outlineLevel="0" collapsed="false">
      <c r="A2079" s="8" t="str">
        <f aca="false">HYPERLINK("https://www.fabsurplus.com/sdi_catalog/salesItemDetails.do?id=98689")</f>
        <v>https://www.fabsurplus.com/sdi_catalog/salesItemDetails.do?id=98689</v>
      </c>
      <c r="B2079" s="8" t="s">
        <v>4864</v>
      </c>
      <c r="C2079" s="8" t="s">
        <v>4782</v>
      </c>
      <c r="D2079" s="8" t="s">
        <v>4853</v>
      </c>
      <c r="E2079" s="8" t="s">
        <v>4828</v>
      </c>
      <c r="F2079" s="8" t="s">
        <v>16</v>
      </c>
      <c r="G2079" s="8" t="s">
        <v>837</v>
      </c>
      <c r="H2079" s="8"/>
      <c r="I2079" s="8"/>
      <c r="J2079" s="8" t="s">
        <v>19</v>
      </c>
      <c r="K2079" s="8"/>
    </row>
    <row r="2080" customFormat="false" ht="12.8" hidden="false" customHeight="false" outlineLevel="0" collapsed="false">
      <c r="A2080" s="6" t="str">
        <f aca="false">HYPERLINK("https://www.fabsurplus.com/sdi_catalog/salesItemDetails.do?id=98688")</f>
        <v>https://www.fabsurplus.com/sdi_catalog/salesItemDetails.do?id=98688</v>
      </c>
      <c r="B2080" s="6" t="s">
        <v>4865</v>
      </c>
      <c r="C2080" s="6" t="s">
        <v>4782</v>
      </c>
      <c r="D2080" s="6" t="s">
        <v>4853</v>
      </c>
      <c r="E2080" s="6" t="s">
        <v>4828</v>
      </c>
      <c r="F2080" s="6" t="s">
        <v>16</v>
      </c>
      <c r="G2080" s="6" t="s">
        <v>837</v>
      </c>
      <c r="H2080" s="6"/>
      <c r="I2080" s="6"/>
      <c r="J2080" s="6" t="s">
        <v>19</v>
      </c>
      <c r="K2080" s="6"/>
    </row>
    <row r="2081" customFormat="false" ht="12.8" hidden="false" customHeight="false" outlineLevel="0" collapsed="false">
      <c r="A2081" s="8" t="str">
        <f aca="false">HYPERLINK("https://www.fabsurplus.com/sdi_catalog/salesItemDetails.do?id=98687")</f>
        <v>https://www.fabsurplus.com/sdi_catalog/salesItemDetails.do?id=98687</v>
      </c>
      <c r="B2081" s="8" t="s">
        <v>4866</v>
      </c>
      <c r="C2081" s="8" t="s">
        <v>4782</v>
      </c>
      <c r="D2081" s="8" t="s">
        <v>4853</v>
      </c>
      <c r="E2081" s="8" t="s">
        <v>4828</v>
      </c>
      <c r="F2081" s="8" t="s">
        <v>16</v>
      </c>
      <c r="G2081" s="8" t="s">
        <v>837</v>
      </c>
      <c r="H2081" s="8"/>
      <c r="I2081" s="8"/>
      <c r="J2081" s="8" t="s">
        <v>19</v>
      </c>
      <c r="K2081" s="8"/>
    </row>
    <row r="2082" customFormat="false" ht="12.8" hidden="false" customHeight="false" outlineLevel="0" collapsed="false">
      <c r="A2082" s="6" t="str">
        <f aca="false">HYPERLINK("https://www.fabsurplus.com/sdi_catalog/salesItemDetails.do?id=98686")</f>
        <v>https://www.fabsurplus.com/sdi_catalog/salesItemDetails.do?id=98686</v>
      </c>
      <c r="B2082" s="6" t="s">
        <v>4867</v>
      </c>
      <c r="C2082" s="6" t="s">
        <v>4782</v>
      </c>
      <c r="D2082" s="6" t="s">
        <v>4853</v>
      </c>
      <c r="E2082" s="6" t="s">
        <v>4828</v>
      </c>
      <c r="F2082" s="6" t="s">
        <v>16</v>
      </c>
      <c r="G2082" s="6" t="s">
        <v>837</v>
      </c>
      <c r="H2082" s="6"/>
      <c r="I2082" s="6"/>
      <c r="J2082" s="6" t="s">
        <v>19</v>
      </c>
      <c r="K2082" s="6"/>
    </row>
    <row r="2083" customFormat="false" ht="12.8" hidden="false" customHeight="false" outlineLevel="0" collapsed="false">
      <c r="A2083" s="8" t="str">
        <f aca="false">HYPERLINK("https://www.fabsurplus.com/sdi_catalog/salesItemDetails.do?id=97003")</f>
        <v>https://www.fabsurplus.com/sdi_catalog/salesItemDetails.do?id=97003</v>
      </c>
      <c r="B2083" s="8" t="s">
        <v>4868</v>
      </c>
      <c r="C2083" s="8" t="s">
        <v>4869</v>
      </c>
      <c r="D2083" s="8" t="s">
        <v>4870</v>
      </c>
      <c r="E2083" s="8" t="s">
        <v>4871</v>
      </c>
      <c r="F2083" s="8" t="s">
        <v>16</v>
      </c>
      <c r="G2083" s="8" t="s">
        <v>162</v>
      </c>
      <c r="H2083" s="8" t="s">
        <v>18</v>
      </c>
      <c r="I2083" s="9" t="n">
        <v>35947</v>
      </c>
      <c r="J2083" s="8" t="s">
        <v>19</v>
      </c>
      <c r="K2083" s="8" t="s">
        <v>20</v>
      </c>
    </row>
    <row r="2084" customFormat="false" ht="12.8" hidden="false" customHeight="false" outlineLevel="0" collapsed="false">
      <c r="A2084" s="8" t="str">
        <f aca="false">HYPERLINK("https://www.fabsurplus.com/sdi_catalog/salesItemDetails.do?id=100795")</f>
        <v>https://www.fabsurplus.com/sdi_catalog/salesItemDetails.do?id=100795</v>
      </c>
      <c r="B2084" s="8" t="s">
        <v>4872</v>
      </c>
      <c r="C2084" s="8" t="s">
        <v>4869</v>
      </c>
      <c r="D2084" s="8" t="s">
        <v>4873</v>
      </c>
      <c r="E2084" s="8" t="s">
        <v>4874</v>
      </c>
      <c r="F2084" s="8" t="s">
        <v>16</v>
      </c>
      <c r="G2084" s="8" t="s">
        <v>32</v>
      </c>
      <c r="H2084" s="8"/>
      <c r="I2084" s="9" t="n">
        <v>36678</v>
      </c>
      <c r="J2084" s="8" t="s">
        <v>81</v>
      </c>
      <c r="K2084" s="8"/>
    </row>
    <row r="2085" customFormat="false" ht="12.8" hidden="false" customHeight="false" outlineLevel="0" collapsed="false">
      <c r="A2085" s="8" t="str">
        <f aca="false">HYPERLINK("https://www.fabsurplus.com/sdi_catalog/salesItemDetails.do?id=98929")</f>
        <v>https://www.fabsurplus.com/sdi_catalog/salesItemDetails.do?id=98929</v>
      </c>
      <c r="B2085" s="8" t="s">
        <v>4875</v>
      </c>
      <c r="C2085" s="8" t="s">
        <v>4876</v>
      </c>
      <c r="D2085" s="8" t="s">
        <v>4877</v>
      </c>
      <c r="E2085" s="8" t="s">
        <v>4744</v>
      </c>
      <c r="F2085" s="8" t="s">
        <v>16</v>
      </c>
      <c r="G2085" s="8"/>
      <c r="H2085" s="8"/>
      <c r="I2085" s="8"/>
      <c r="J2085" s="8" t="s">
        <v>19</v>
      </c>
      <c r="K2085" s="8"/>
    </row>
    <row r="2086" customFormat="false" ht="12.8" hidden="false" customHeight="false" outlineLevel="0" collapsed="false">
      <c r="A2086" s="6" t="str">
        <f aca="false">HYPERLINK("https://www.fabsurplus.com/sdi_catalog/salesItemDetails.do?id=100648")</f>
        <v>https://www.fabsurplus.com/sdi_catalog/salesItemDetails.do?id=100648</v>
      </c>
      <c r="B2086" s="6" t="s">
        <v>4878</v>
      </c>
      <c r="C2086" s="6" t="s">
        <v>4879</v>
      </c>
      <c r="D2086" s="6" t="s">
        <v>2426</v>
      </c>
      <c r="E2086" s="6" t="s">
        <v>3468</v>
      </c>
      <c r="F2086" s="6" t="s">
        <v>16</v>
      </c>
      <c r="G2086" s="6" t="s">
        <v>328</v>
      </c>
      <c r="H2086" s="6"/>
      <c r="I2086" s="6"/>
      <c r="J2086" s="6" t="s">
        <v>19</v>
      </c>
      <c r="K2086" s="6"/>
    </row>
    <row r="2087" customFormat="false" ht="12.8" hidden="false" customHeight="false" outlineLevel="0" collapsed="false">
      <c r="A2087" s="8" t="str">
        <f aca="false">HYPERLINK("https://www.fabsurplus.com/sdi_catalog/salesItemDetails.do?id=100649")</f>
        <v>https://www.fabsurplus.com/sdi_catalog/salesItemDetails.do?id=100649</v>
      </c>
      <c r="B2087" s="8" t="s">
        <v>4880</v>
      </c>
      <c r="C2087" s="8" t="s">
        <v>4879</v>
      </c>
      <c r="D2087" s="8" t="s">
        <v>4881</v>
      </c>
      <c r="E2087" s="8" t="s">
        <v>3468</v>
      </c>
      <c r="F2087" s="8" t="s">
        <v>16</v>
      </c>
      <c r="G2087" s="8" t="s">
        <v>328</v>
      </c>
      <c r="H2087" s="8"/>
      <c r="I2087" s="8"/>
      <c r="J2087" s="8" t="s">
        <v>19</v>
      </c>
      <c r="K2087" s="8"/>
    </row>
    <row r="2088" customFormat="false" ht="12.8" hidden="false" customHeight="false" outlineLevel="0" collapsed="false">
      <c r="A2088" s="6" t="str">
        <f aca="false">HYPERLINK("https://www.fabsurplus.com/sdi_catalog/salesItemDetails.do?id=98420")</f>
        <v>https://www.fabsurplus.com/sdi_catalog/salesItemDetails.do?id=98420</v>
      </c>
      <c r="B2088" s="6" t="s">
        <v>4882</v>
      </c>
      <c r="C2088" s="6" t="s">
        <v>4883</v>
      </c>
      <c r="D2088" s="6" t="s">
        <v>4884</v>
      </c>
      <c r="E2088" s="6" t="s">
        <v>4885</v>
      </c>
      <c r="F2088" s="6" t="s">
        <v>16</v>
      </c>
      <c r="G2088" s="6" t="s">
        <v>2208</v>
      </c>
      <c r="H2088" s="6"/>
      <c r="I2088" s="6"/>
      <c r="J2088" s="6" t="s">
        <v>19</v>
      </c>
      <c r="K2088" s="6"/>
    </row>
    <row r="2089" customFormat="false" ht="12.8" hidden="false" customHeight="false" outlineLevel="0" collapsed="false">
      <c r="A2089" s="8" t="str">
        <f aca="false">HYPERLINK("https://www.fabsurplus.com/sdi_catalog/salesItemDetails.do?id=98421")</f>
        <v>https://www.fabsurplus.com/sdi_catalog/salesItemDetails.do?id=98421</v>
      </c>
      <c r="B2089" s="8" t="s">
        <v>4886</v>
      </c>
      <c r="C2089" s="8" t="s">
        <v>4883</v>
      </c>
      <c r="D2089" s="8" t="s">
        <v>4887</v>
      </c>
      <c r="E2089" s="8" t="s">
        <v>4888</v>
      </c>
      <c r="F2089" s="8" t="s">
        <v>16</v>
      </c>
      <c r="G2089" s="8" t="s">
        <v>2208</v>
      </c>
      <c r="H2089" s="8"/>
      <c r="I2089" s="8"/>
      <c r="J2089" s="8" t="s">
        <v>19</v>
      </c>
      <c r="K2089" s="8"/>
    </row>
    <row r="2090" customFormat="false" ht="12.8" hidden="false" customHeight="false" outlineLevel="0" collapsed="false">
      <c r="A2090" s="8" t="str">
        <f aca="false">HYPERLINK("https://www.fabsurplus.com/sdi_catalog/salesItemDetails.do?id=98423")</f>
        <v>https://www.fabsurplus.com/sdi_catalog/salesItemDetails.do?id=98423</v>
      </c>
      <c r="B2090" s="8" t="s">
        <v>4889</v>
      </c>
      <c r="C2090" s="8" t="s">
        <v>4883</v>
      </c>
      <c r="D2090" s="8" t="s">
        <v>4890</v>
      </c>
      <c r="E2090" s="8" t="s">
        <v>4891</v>
      </c>
      <c r="F2090" s="8" t="s">
        <v>16</v>
      </c>
      <c r="G2090" s="8" t="s">
        <v>2208</v>
      </c>
      <c r="H2090" s="8"/>
      <c r="I2090" s="8"/>
      <c r="J2090" s="8" t="s">
        <v>19</v>
      </c>
      <c r="K2090" s="8"/>
    </row>
    <row r="2091" customFormat="false" ht="12.8" hidden="false" customHeight="false" outlineLevel="0" collapsed="false">
      <c r="A2091" s="6" t="str">
        <f aca="false">HYPERLINK("https://www.fabsurplus.com/sdi_catalog/salesItemDetails.do?id=98422")</f>
        <v>https://www.fabsurplus.com/sdi_catalog/salesItemDetails.do?id=98422</v>
      </c>
      <c r="B2091" s="6" t="s">
        <v>4892</v>
      </c>
      <c r="C2091" s="6" t="s">
        <v>4883</v>
      </c>
      <c r="D2091" s="6" t="s">
        <v>4890</v>
      </c>
      <c r="E2091" s="6" t="s">
        <v>4891</v>
      </c>
      <c r="F2091" s="6" t="s">
        <v>611</v>
      </c>
      <c r="G2091" s="6" t="s">
        <v>2208</v>
      </c>
      <c r="H2091" s="6"/>
      <c r="I2091" s="6"/>
      <c r="J2091" s="6" t="s">
        <v>19</v>
      </c>
      <c r="K2091" s="6"/>
    </row>
    <row r="2092" customFormat="false" ht="12.8" hidden="false" customHeight="false" outlineLevel="0" collapsed="false">
      <c r="A2092" s="8" t="str">
        <f aca="false">HYPERLINK("https://www.fabsurplus.com/sdi_catalog/salesItemDetails.do?id=97723")</f>
        <v>https://www.fabsurplus.com/sdi_catalog/salesItemDetails.do?id=97723</v>
      </c>
      <c r="B2092" s="8" t="s">
        <v>4893</v>
      </c>
      <c r="C2092" s="8" t="s">
        <v>4894</v>
      </c>
      <c r="D2092" s="8" t="s">
        <v>4895</v>
      </c>
      <c r="E2092" s="8" t="s">
        <v>884</v>
      </c>
      <c r="F2092" s="8" t="s">
        <v>16</v>
      </c>
      <c r="G2092" s="8" t="s">
        <v>32</v>
      </c>
      <c r="H2092" s="8"/>
      <c r="I2092" s="8"/>
      <c r="J2092" s="8" t="s">
        <v>19</v>
      </c>
      <c r="K2092" s="8"/>
    </row>
    <row r="2093" customFormat="false" ht="12.8" hidden="false" customHeight="false" outlineLevel="0" collapsed="false">
      <c r="A2093" s="6" t="str">
        <f aca="false">HYPERLINK("https://www.fabsurplus.com/sdi_catalog/salesItemDetails.do?id=99403")</f>
        <v>https://www.fabsurplus.com/sdi_catalog/salesItemDetails.do?id=99403</v>
      </c>
      <c r="B2093" s="6" t="s">
        <v>4896</v>
      </c>
      <c r="C2093" s="6" t="s">
        <v>4897</v>
      </c>
      <c r="D2093" s="6" t="s">
        <v>4898</v>
      </c>
      <c r="E2093" s="6" t="s">
        <v>4899</v>
      </c>
      <c r="F2093" s="6" t="s">
        <v>16</v>
      </c>
      <c r="G2093" s="6" t="s">
        <v>17</v>
      </c>
      <c r="H2093" s="6" t="s">
        <v>18</v>
      </c>
      <c r="I2093" s="7" t="n">
        <v>36281</v>
      </c>
      <c r="J2093" s="6" t="s">
        <v>19</v>
      </c>
      <c r="K2093" s="6" t="s">
        <v>20</v>
      </c>
    </row>
    <row r="2094" customFormat="false" ht="12.8" hidden="false" customHeight="false" outlineLevel="0" collapsed="false">
      <c r="A2094" s="6" t="str">
        <f aca="false">HYPERLINK("https://www.fabsurplus.com/sdi_catalog/salesItemDetails.do?id=99429")</f>
        <v>https://www.fabsurplus.com/sdi_catalog/salesItemDetails.do?id=99429</v>
      </c>
      <c r="B2094" s="6" t="s">
        <v>4900</v>
      </c>
      <c r="C2094" s="6" t="s">
        <v>4901</v>
      </c>
      <c r="D2094" s="6" t="s">
        <v>4902</v>
      </c>
      <c r="E2094" s="6" t="s">
        <v>4903</v>
      </c>
      <c r="F2094" s="6" t="s">
        <v>16</v>
      </c>
      <c r="G2094" s="6" t="s">
        <v>32</v>
      </c>
      <c r="H2094" s="6" t="s">
        <v>33</v>
      </c>
      <c r="I2094" s="6"/>
      <c r="J2094" s="6" t="s">
        <v>19</v>
      </c>
      <c r="K2094" s="6" t="s">
        <v>20</v>
      </c>
    </row>
    <row r="2095" customFormat="false" ht="12.8" hidden="false" customHeight="false" outlineLevel="0" collapsed="false">
      <c r="A2095" s="6" t="str">
        <f aca="false">HYPERLINK("https://www.fabsurplus.com/sdi_catalog/salesItemDetails.do?id=98930")</f>
        <v>https://www.fabsurplus.com/sdi_catalog/salesItemDetails.do?id=98930</v>
      </c>
      <c r="B2095" s="6" t="s">
        <v>4904</v>
      </c>
      <c r="C2095" s="6" t="s">
        <v>4905</v>
      </c>
      <c r="D2095" s="6" t="s">
        <v>4906</v>
      </c>
      <c r="E2095" s="6" t="s">
        <v>4907</v>
      </c>
      <c r="F2095" s="6" t="s">
        <v>16</v>
      </c>
      <c r="G2095" s="6"/>
      <c r="H2095" s="6"/>
      <c r="I2095" s="6"/>
      <c r="J2095" s="6" t="s">
        <v>19</v>
      </c>
      <c r="K2095" s="6"/>
    </row>
    <row r="2096" customFormat="false" ht="12.8" hidden="false" customHeight="false" outlineLevel="0" collapsed="false">
      <c r="A2096" s="6" t="str">
        <f aca="false">HYPERLINK("https://www.fabsurplus.com/sdi_catalog/salesItemDetails.do?id=98932")</f>
        <v>https://www.fabsurplus.com/sdi_catalog/salesItemDetails.do?id=98932</v>
      </c>
      <c r="B2096" s="6" t="s">
        <v>4908</v>
      </c>
      <c r="C2096" s="6" t="s">
        <v>4905</v>
      </c>
      <c r="D2096" s="6" t="s">
        <v>4909</v>
      </c>
      <c r="E2096" s="6" t="s">
        <v>4907</v>
      </c>
      <c r="F2096" s="6" t="s">
        <v>16</v>
      </c>
      <c r="G2096" s="6"/>
      <c r="H2096" s="6"/>
      <c r="I2096" s="6"/>
      <c r="J2096" s="6" t="s">
        <v>19</v>
      </c>
      <c r="K2096" s="6"/>
    </row>
    <row r="2097" customFormat="false" ht="12.8" hidden="false" customHeight="false" outlineLevel="0" collapsed="false">
      <c r="A2097" s="8" t="str">
        <f aca="false">HYPERLINK("https://www.fabsurplus.com/sdi_catalog/salesItemDetails.do?id=98931")</f>
        <v>https://www.fabsurplus.com/sdi_catalog/salesItemDetails.do?id=98931</v>
      </c>
      <c r="B2097" s="8" t="s">
        <v>4910</v>
      </c>
      <c r="C2097" s="8" t="s">
        <v>4905</v>
      </c>
      <c r="D2097" s="8" t="s">
        <v>4909</v>
      </c>
      <c r="E2097" s="8" t="s">
        <v>4907</v>
      </c>
      <c r="F2097" s="8" t="s">
        <v>16</v>
      </c>
      <c r="G2097" s="8"/>
      <c r="H2097" s="8"/>
      <c r="I2097" s="8"/>
      <c r="J2097" s="8" t="s">
        <v>19</v>
      </c>
      <c r="K2097" s="8"/>
    </row>
    <row r="2098" customFormat="false" ht="12.8" hidden="false" customHeight="false" outlineLevel="0" collapsed="false">
      <c r="A2098" s="8" t="str">
        <f aca="false">HYPERLINK("https://www.fabsurplus.com/sdi_catalog/salesItemDetails.do?id=98861")</f>
        <v>https://www.fabsurplus.com/sdi_catalog/salesItemDetails.do?id=98861</v>
      </c>
      <c r="B2098" s="8" t="s">
        <v>4911</v>
      </c>
      <c r="C2098" s="8" t="s">
        <v>4912</v>
      </c>
      <c r="D2098" s="8" t="s">
        <v>4913</v>
      </c>
      <c r="E2098" s="8" t="s">
        <v>4914</v>
      </c>
      <c r="F2098" s="8" t="s">
        <v>16</v>
      </c>
      <c r="G2098" s="8"/>
      <c r="H2098" s="8"/>
      <c r="I2098" s="8"/>
      <c r="J2098" s="8" t="s">
        <v>81</v>
      </c>
      <c r="K2098" s="8"/>
    </row>
    <row r="2099" customFormat="false" ht="12.8" hidden="false" customHeight="false" outlineLevel="0" collapsed="false">
      <c r="A2099" s="8" t="str">
        <f aca="false">HYPERLINK("https://www.fabsurplus.com/sdi_catalog/salesItemDetails.do?id=100796")</f>
        <v>https://www.fabsurplus.com/sdi_catalog/salesItemDetails.do?id=100796</v>
      </c>
      <c r="B2099" s="8" t="s">
        <v>4915</v>
      </c>
      <c r="C2099" s="8" t="s">
        <v>4916</v>
      </c>
      <c r="D2099" s="8" t="s">
        <v>4917</v>
      </c>
      <c r="E2099" s="8" t="s">
        <v>4918</v>
      </c>
      <c r="F2099" s="8" t="s">
        <v>16</v>
      </c>
      <c r="G2099" s="8" t="s">
        <v>32</v>
      </c>
      <c r="H2099" s="8"/>
      <c r="I2099" s="8"/>
      <c r="J2099" s="8" t="s">
        <v>81</v>
      </c>
      <c r="K2099" s="8"/>
    </row>
    <row r="2100" customFormat="false" ht="12.8" hidden="false" customHeight="false" outlineLevel="0" collapsed="false">
      <c r="A2100" s="8" t="str">
        <f aca="false">HYPERLINK("https://www.fabsurplus.com/sdi_catalog/salesItemDetails.do?id=97962")</f>
        <v>https://www.fabsurplus.com/sdi_catalog/salesItemDetails.do?id=97962</v>
      </c>
      <c r="B2100" s="8" t="s">
        <v>4919</v>
      </c>
      <c r="C2100" s="8" t="s">
        <v>4920</v>
      </c>
      <c r="D2100" s="8" t="s">
        <v>4921</v>
      </c>
      <c r="E2100" s="8" t="s">
        <v>4310</v>
      </c>
      <c r="F2100" s="8" t="s">
        <v>16</v>
      </c>
      <c r="G2100" s="8" t="s">
        <v>434</v>
      </c>
      <c r="H2100" s="8"/>
      <c r="I2100" s="8"/>
      <c r="J2100" s="8" t="s">
        <v>81</v>
      </c>
      <c r="K2100" s="8"/>
    </row>
    <row r="2101" customFormat="false" ht="12.8" hidden="false" customHeight="false" outlineLevel="0" collapsed="false">
      <c r="A2101" s="6" t="str">
        <f aca="false">HYPERLINK("https://www.fabsurplus.com/sdi_catalog/salesItemDetails.do?id=97963")</f>
        <v>https://www.fabsurplus.com/sdi_catalog/salesItemDetails.do?id=97963</v>
      </c>
      <c r="B2101" s="6" t="s">
        <v>4922</v>
      </c>
      <c r="C2101" s="6" t="s">
        <v>4920</v>
      </c>
      <c r="D2101" s="6" t="s">
        <v>4923</v>
      </c>
      <c r="E2101" s="6" t="s">
        <v>4310</v>
      </c>
      <c r="F2101" s="6" t="s">
        <v>16</v>
      </c>
      <c r="G2101" s="6" t="s">
        <v>434</v>
      </c>
      <c r="H2101" s="6"/>
      <c r="I2101" s="6"/>
      <c r="J2101" s="6" t="s">
        <v>81</v>
      </c>
      <c r="K2101" s="6"/>
    </row>
    <row r="2102" customFormat="false" ht="12.8" hidden="false" customHeight="false" outlineLevel="0" collapsed="false">
      <c r="A2102" s="8" t="str">
        <f aca="false">HYPERLINK("https://www.fabsurplus.com/sdi_catalog/salesItemDetails.do?id=97964")</f>
        <v>https://www.fabsurplus.com/sdi_catalog/salesItemDetails.do?id=97964</v>
      </c>
      <c r="B2102" s="8" t="s">
        <v>4924</v>
      </c>
      <c r="C2102" s="8" t="s">
        <v>4920</v>
      </c>
      <c r="D2102" s="8" t="s">
        <v>4925</v>
      </c>
      <c r="E2102" s="8" t="s">
        <v>4310</v>
      </c>
      <c r="F2102" s="8" t="s">
        <v>16</v>
      </c>
      <c r="G2102" s="8" t="s">
        <v>434</v>
      </c>
      <c r="H2102" s="8"/>
      <c r="I2102" s="8"/>
      <c r="J2102" s="8" t="s">
        <v>81</v>
      </c>
      <c r="K2102" s="8"/>
    </row>
    <row r="2103" customFormat="false" ht="12.8" hidden="false" customHeight="false" outlineLevel="0" collapsed="false">
      <c r="A2103" s="6" t="str">
        <f aca="false">HYPERLINK("https://www.fabsurplus.com/sdi_catalog/salesItemDetails.do?id=97722")</f>
        <v>https://www.fabsurplus.com/sdi_catalog/salesItemDetails.do?id=97722</v>
      </c>
      <c r="B2103" s="6" t="s">
        <v>4926</v>
      </c>
      <c r="C2103" s="6" t="s">
        <v>4927</v>
      </c>
      <c r="D2103" s="6" t="s">
        <v>4928</v>
      </c>
      <c r="E2103" s="6" t="s">
        <v>2050</v>
      </c>
      <c r="F2103" s="6" t="s">
        <v>16</v>
      </c>
      <c r="G2103" s="6" t="s">
        <v>32</v>
      </c>
      <c r="H2103" s="6"/>
      <c r="I2103" s="6"/>
      <c r="J2103" s="6" t="s">
        <v>19</v>
      </c>
      <c r="K2103" s="6"/>
    </row>
    <row r="2104" customFormat="false" ht="12.8" hidden="false" customHeight="false" outlineLevel="0" collapsed="false">
      <c r="A2104" s="6" t="str">
        <f aca="false">HYPERLINK("https://www.fabsurplus.com/sdi_catalog/salesItemDetails.do?id=98039")</f>
        <v>https://www.fabsurplus.com/sdi_catalog/salesItemDetails.do?id=98039</v>
      </c>
      <c r="B2104" s="6" t="s">
        <v>4929</v>
      </c>
      <c r="C2104" s="6" t="s">
        <v>4930</v>
      </c>
      <c r="D2104" s="6" t="s">
        <v>4931</v>
      </c>
      <c r="E2104" s="6" t="s">
        <v>2010</v>
      </c>
      <c r="F2104" s="6" t="s">
        <v>16</v>
      </c>
      <c r="G2104" s="6" t="s">
        <v>32</v>
      </c>
      <c r="H2104" s="6"/>
      <c r="I2104" s="7" t="n">
        <v>38504</v>
      </c>
      <c r="J2104" s="6" t="s">
        <v>19</v>
      </c>
      <c r="K2104" s="6"/>
    </row>
    <row r="2105" customFormat="false" ht="12.8" hidden="false" customHeight="false" outlineLevel="0" collapsed="false">
      <c r="A2105" s="8" t="str">
        <f aca="false">HYPERLINK("https://www.fabsurplus.com/sdi_catalog/salesItemDetails.do?id=98038")</f>
        <v>https://www.fabsurplus.com/sdi_catalog/salesItemDetails.do?id=98038</v>
      </c>
      <c r="B2105" s="8" t="s">
        <v>4932</v>
      </c>
      <c r="C2105" s="8" t="s">
        <v>4930</v>
      </c>
      <c r="D2105" s="8" t="s">
        <v>4931</v>
      </c>
      <c r="E2105" s="8" t="s">
        <v>2010</v>
      </c>
      <c r="F2105" s="8" t="s">
        <v>16</v>
      </c>
      <c r="G2105" s="8" t="s">
        <v>32</v>
      </c>
      <c r="H2105" s="8"/>
      <c r="I2105" s="9" t="n">
        <v>38139</v>
      </c>
      <c r="J2105" s="8" t="s">
        <v>19</v>
      </c>
      <c r="K2105" s="8"/>
    </row>
    <row r="2106" customFormat="false" ht="12.8" hidden="false" customHeight="false" outlineLevel="0" collapsed="false">
      <c r="A2106" s="6" t="str">
        <f aca="false">HYPERLINK("https://www.fabsurplus.com/sdi_catalog/salesItemDetails.do?id=98354")</f>
        <v>https://www.fabsurplus.com/sdi_catalog/salesItemDetails.do?id=98354</v>
      </c>
      <c r="B2106" s="6" t="s">
        <v>4933</v>
      </c>
      <c r="C2106" s="6" t="s">
        <v>4930</v>
      </c>
      <c r="D2106" s="6" t="s">
        <v>4934</v>
      </c>
      <c r="E2106" s="6" t="s">
        <v>2928</v>
      </c>
      <c r="F2106" s="6" t="s">
        <v>16</v>
      </c>
      <c r="G2106" s="6" t="s">
        <v>310</v>
      </c>
      <c r="H2106" s="6"/>
      <c r="I2106" s="6"/>
      <c r="J2106" s="6" t="s">
        <v>81</v>
      </c>
      <c r="K2106" s="6"/>
    </row>
    <row r="2107" customFormat="false" ht="12.8" hidden="false" customHeight="false" outlineLevel="0" collapsed="false">
      <c r="A2107" s="8" t="str">
        <f aca="false">HYPERLINK("https://www.fabsurplus.com/sdi_catalog/salesItemDetails.do?id=98353")</f>
        <v>https://www.fabsurplus.com/sdi_catalog/salesItemDetails.do?id=98353</v>
      </c>
      <c r="B2107" s="8" t="s">
        <v>4935</v>
      </c>
      <c r="C2107" s="8" t="s">
        <v>4930</v>
      </c>
      <c r="D2107" s="8" t="s">
        <v>4934</v>
      </c>
      <c r="E2107" s="8" t="s">
        <v>2928</v>
      </c>
      <c r="F2107" s="8" t="s">
        <v>16</v>
      </c>
      <c r="G2107" s="8" t="s">
        <v>310</v>
      </c>
      <c r="H2107" s="8"/>
      <c r="I2107" s="8"/>
      <c r="J2107" s="8" t="s">
        <v>81</v>
      </c>
      <c r="K2107" s="8"/>
    </row>
    <row r="2108" customFormat="false" ht="12.8" hidden="false" customHeight="false" outlineLevel="0" collapsed="false">
      <c r="A2108" s="8" t="str">
        <f aca="false">HYPERLINK("https://www.fabsurplus.com/sdi_catalog/salesItemDetails.do?id=98355")</f>
        <v>https://www.fabsurplus.com/sdi_catalog/salesItemDetails.do?id=98355</v>
      </c>
      <c r="B2108" s="8" t="s">
        <v>4936</v>
      </c>
      <c r="C2108" s="8" t="s">
        <v>4930</v>
      </c>
      <c r="D2108" s="8" t="s">
        <v>4937</v>
      </c>
      <c r="E2108" s="8" t="s">
        <v>2928</v>
      </c>
      <c r="F2108" s="8" t="s">
        <v>16</v>
      </c>
      <c r="G2108" s="8" t="s">
        <v>310</v>
      </c>
      <c r="H2108" s="8"/>
      <c r="I2108" s="8"/>
      <c r="J2108" s="8" t="s">
        <v>81</v>
      </c>
      <c r="K2108" s="8"/>
    </row>
    <row r="2109" customFormat="false" ht="12.8" hidden="false" customHeight="false" outlineLevel="0" collapsed="false">
      <c r="A2109" s="6" t="str">
        <f aca="false">HYPERLINK("https://www.fabsurplus.com/sdi_catalog/salesItemDetails.do?id=99927")</f>
        <v>https://www.fabsurplus.com/sdi_catalog/salesItemDetails.do?id=99927</v>
      </c>
      <c r="B2109" s="6" t="s">
        <v>4938</v>
      </c>
      <c r="C2109" s="6" t="s">
        <v>4930</v>
      </c>
      <c r="D2109" s="6" t="s">
        <v>4939</v>
      </c>
      <c r="E2109" s="6" t="s">
        <v>2928</v>
      </c>
      <c r="F2109" s="6" t="s">
        <v>16</v>
      </c>
      <c r="G2109" s="6" t="s">
        <v>310</v>
      </c>
      <c r="H2109" s="6"/>
      <c r="I2109" s="6"/>
      <c r="J2109" s="6" t="s">
        <v>19</v>
      </c>
      <c r="K2109" s="6"/>
    </row>
    <row r="2110" customFormat="false" ht="12.8" hidden="false" customHeight="false" outlineLevel="0" collapsed="false">
      <c r="A2110" s="8" t="str">
        <f aca="false">HYPERLINK("https://www.fabsurplus.com/sdi_catalog/salesItemDetails.do?id=99926")</f>
        <v>https://www.fabsurplus.com/sdi_catalog/salesItemDetails.do?id=99926</v>
      </c>
      <c r="B2110" s="8" t="s">
        <v>4940</v>
      </c>
      <c r="C2110" s="8" t="s">
        <v>4930</v>
      </c>
      <c r="D2110" s="8" t="s">
        <v>4939</v>
      </c>
      <c r="E2110" s="8" t="s">
        <v>2928</v>
      </c>
      <c r="F2110" s="8" t="s">
        <v>16</v>
      </c>
      <c r="G2110" s="8" t="s">
        <v>310</v>
      </c>
      <c r="H2110" s="8"/>
      <c r="I2110" s="8"/>
      <c r="J2110" s="8" t="s">
        <v>19</v>
      </c>
      <c r="K2110" s="8"/>
    </row>
    <row r="2111" customFormat="false" ht="12.8" hidden="false" customHeight="false" outlineLevel="0" collapsed="false">
      <c r="A2111" s="6" t="str">
        <f aca="false">HYPERLINK("https://www.fabsurplus.com/sdi_catalog/salesItemDetails.do?id=99925")</f>
        <v>https://www.fabsurplus.com/sdi_catalog/salesItemDetails.do?id=99925</v>
      </c>
      <c r="B2111" s="6" t="s">
        <v>4941</v>
      </c>
      <c r="C2111" s="6" t="s">
        <v>4930</v>
      </c>
      <c r="D2111" s="6" t="s">
        <v>4939</v>
      </c>
      <c r="E2111" s="6" t="s">
        <v>2928</v>
      </c>
      <c r="F2111" s="6" t="s">
        <v>16</v>
      </c>
      <c r="G2111" s="6" t="s">
        <v>310</v>
      </c>
      <c r="H2111" s="6"/>
      <c r="I2111" s="6"/>
      <c r="J2111" s="6" t="s">
        <v>19</v>
      </c>
      <c r="K2111" s="6"/>
    </row>
    <row r="2112" customFormat="false" ht="12.8" hidden="false" customHeight="false" outlineLevel="0" collapsed="false">
      <c r="A2112" s="8" t="str">
        <f aca="false">HYPERLINK("https://www.fabsurplus.com/sdi_catalog/salesItemDetails.do?id=98833")</f>
        <v>https://www.fabsurplus.com/sdi_catalog/salesItemDetails.do?id=98833</v>
      </c>
      <c r="B2112" s="8" t="s">
        <v>4942</v>
      </c>
      <c r="C2112" s="8" t="s">
        <v>4930</v>
      </c>
      <c r="D2112" s="8" t="s">
        <v>4939</v>
      </c>
      <c r="E2112" s="8" t="s">
        <v>4943</v>
      </c>
      <c r="F2112" s="8" t="s">
        <v>16</v>
      </c>
      <c r="G2112" s="8" t="s">
        <v>310</v>
      </c>
      <c r="H2112" s="8"/>
      <c r="I2112" s="9" t="n">
        <v>39022</v>
      </c>
      <c r="J2112" s="8" t="s">
        <v>19</v>
      </c>
      <c r="K2112" s="8"/>
    </row>
    <row r="2113" customFormat="false" ht="12.8" hidden="false" customHeight="false" outlineLevel="0" collapsed="false">
      <c r="A2113" s="6" t="str">
        <f aca="false">HYPERLINK("https://www.fabsurplus.com/sdi_catalog/salesItemDetails.do?id=99929")</f>
        <v>https://www.fabsurplus.com/sdi_catalog/salesItemDetails.do?id=99929</v>
      </c>
      <c r="B2113" s="6" t="s">
        <v>4944</v>
      </c>
      <c r="C2113" s="6" t="s">
        <v>4930</v>
      </c>
      <c r="D2113" s="6" t="s">
        <v>4945</v>
      </c>
      <c r="E2113" s="6" t="s">
        <v>2928</v>
      </c>
      <c r="F2113" s="6" t="s">
        <v>16</v>
      </c>
      <c r="G2113" s="6" t="s">
        <v>310</v>
      </c>
      <c r="H2113" s="6"/>
      <c r="I2113" s="7" t="n">
        <v>38139</v>
      </c>
      <c r="J2113" s="6" t="s">
        <v>19</v>
      </c>
      <c r="K2113" s="6"/>
    </row>
    <row r="2114" customFormat="false" ht="12.8" hidden="false" customHeight="false" outlineLevel="0" collapsed="false">
      <c r="A2114" s="8" t="str">
        <f aca="false">HYPERLINK("https://www.fabsurplus.com/sdi_catalog/salesItemDetails.do?id=99928")</f>
        <v>https://www.fabsurplus.com/sdi_catalog/salesItemDetails.do?id=99928</v>
      </c>
      <c r="B2114" s="8" t="s">
        <v>4946</v>
      </c>
      <c r="C2114" s="8" t="s">
        <v>4930</v>
      </c>
      <c r="D2114" s="8" t="s">
        <v>4945</v>
      </c>
      <c r="E2114" s="8" t="s">
        <v>2928</v>
      </c>
      <c r="F2114" s="8" t="s">
        <v>16</v>
      </c>
      <c r="G2114" s="8" t="s">
        <v>310</v>
      </c>
      <c r="H2114" s="8"/>
      <c r="I2114" s="9" t="n">
        <v>37773</v>
      </c>
      <c r="J2114" s="8" t="s">
        <v>19</v>
      </c>
      <c r="K2114" s="8"/>
    </row>
    <row r="2115" customFormat="false" ht="12.8" hidden="false" customHeight="false" outlineLevel="0" collapsed="false">
      <c r="A2115" s="6" t="str">
        <f aca="false">HYPERLINK("https://www.fabsurplus.com/sdi_catalog/salesItemDetails.do?id=99914")</f>
        <v>https://www.fabsurplus.com/sdi_catalog/salesItemDetails.do?id=99914</v>
      </c>
      <c r="B2115" s="6" t="s">
        <v>4947</v>
      </c>
      <c r="C2115" s="6" t="s">
        <v>4930</v>
      </c>
      <c r="D2115" s="6" t="s">
        <v>4945</v>
      </c>
      <c r="E2115" s="6" t="s">
        <v>2010</v>
      </c>
      <c r="F2115" s="6" t="s">
        <v>16</v>
      </c>
      <c r="G2115" s="6" t="s">
        <v>310</v>
      </c>
      <c r="H2115" s="6"/>
      <c r="I2115" s="7" t="n">
        <v>38869</v>
      </c>
      <c r="J2115" s="6" t="s">
        <v>19</v>
      </c>
      <c r="K2115" s="6"/>
    </row>
    <row r="2116" customFormat="false" ht="12.8" hidden="false" customHeight="false" outlineLevel="0" collapsed="false">
      <c r="A2116" s="8" t="str">
        <f aca="false">HYPERLINK("https://www.fabsurplus.com/sdi_catalog/salesItemDetails.do?id=99913")</f>
        <v>https://www.fabsurplus.com/sdi_catalog/salesItemDetails.do?id=99913</v>
      </c>
      <c r="B2116" s="8" t="s">
        <v>4948</v>
      </c>
      <c r="C2116" s="8" t="s">
        <v>4930</v>
      </c>
      <c r="D2116" s="8" t="s">
        <v>4945</v>
      </c>
      <c r="E2116" s="8" t="s">
        <v>2010</v>
      </c>
      <c r="F2116" s="8" t="s">
        <v>16</v>
      </c>
      <c r="G2116" s="8" t="s">
        <v>310</v>
      </c>
      <c r="H2116" s="8"/>
      <c r="I2116" s="9" t="n">
        <v>38869</v>
      </c>
      <c r="J2116" s="8" t="s">
        <v>19</v>
      </c>
      <c r="K2116" s="8"/>
    </row>
    <row r="2117" customFormat="false" ht="12.8" hidden="false" customHeight="false" outlineLevel="0" collapsed="false">
      <c r="A2117" s="6" t="str">
        <f aca="false">HYPERLINK("https://www.fabsurplus.com/sdi_catalog/salesItemDetails.do?id=99034")</f>
        <v>https://www.fabsurplus.com/sdi_catalog/salesItemDetails.do?id=99034</v>
      </c>
      <c r="B2117" s="6" t="s">
        <v>4949</v>
      </c>
      <c r="C2117" s="6" t="s">
        <v>4930</v>
      </c>
      <c r="D2117" s="6" t="s">
        <v>4945</v>
      </c>
      <c r="E2117" s="6" t="s">
        <v>2010</v>
      </c>
      <c r="F2117" s="6" t="s">
        <v>16</v>
      </c>
      <c r="G2117" s="6"/>
      <c r="H2117" s="6"/>
      <c r="I2117" s="7" t="n">
        <v>38749</v>
      </c>
      <c r="J2117" s="6" t="s">
        <v>19</v>
      </c>
      <c r="K2117" s="6"/>
    </row>
    <row r="2118" customFormat="false" ht="12.8" hidden="false" customHeight="false" outlineLevel="0" collapsed="false">
      <c r="A2118" s="8" t="str">
        <f aca="false">HYPERLINK("https://www.fabsurplus.com/sdi_catalog/salesItemDetails.do?id=99033")</f>
        <v>https://www.fabsurplus.com/sdi_catalog/salesItemDetails.do?id=99033</v>
      </c>
      <c r="B2118" s="8" t="s">
        <v>4950</v>
      </c>
      <c r="C2118" s="8" t="s">
        <v>4930</v>
      </c>
      <c r="D2118" s="8" t="s">
        <v>4945</v>
      </c>
      <c r="E2118" s="8" t="s">
        <v>2010</v>
      </c>
      <c r="F2118" s="8" t="s">
        <v>16</v>
      </c>
      <c r="G2118" s="8"/>
      <c r="H2118" s="8"/>
      <c r="I2118" s="9" t="n">
        <v>38777</v>
      </c>
      <c r="J2118" s="8" t="s">
        <v>19</v>
      </c>
      <c r="K2118" s="8"/>
    </row>
    <row r="2119" customFormat="false" ht="12.8" hidden="false" customHeight="false" outlineLevel="0" collapsed="false">
      <c r="A2119" s="6" t="str">
        <f aca="false">HYPERLINK("https://www.fabsurplus.com/sdi_catalog/salesItemDetails.do?id=99032")</f>
        <v>https://www.fabsurplus.com/sdi_catalog/salesItemDetails.do?id=99032</v>
      </c>
      <c r="B2119" s="6" t="s">
        <v>4951</v>
      </c>
      <c r="C2119" s="6" t="s">
        <v>4930</v>
      </c>
      <c r="D2119" s="6" t="s">
        <v>4945</v>
      </c>
      <c r="E2119" s="6" t="s">
        <v>2010</v>
      </c>
      <c r="F2119" s="6" t="s">
        <v>16</v>
      </c>
      <c r="G2119" s="6"/>
      <c r="H2119" s="6"/>
      <c r="I2119" s="7" t="n">
        <v>38473</v>
      </c>
      <c r="J2119" s="6" t="s">
        <v>19</v>
      </c>
      <c r="K2119" s="6"/>
    </row>
    <row r="2120" customFormat="false" ht="12.8" hidden="false" customHeight="false" outlineLevel="0" collapsed="false">
      <c r="A2120" s="8" t="str">
        <f aca="false">HYPERLINK("https://www.fabsurplus.com/sdi_catalog/salesItemDetails.do?id=99031")</f>
        <v>https://www.fabsurplus.com/sdi_catalog/salesItemDetails.do?id=99031</v>
      </c>
      <c r="B2120" s="8" t="s">
        <v>4952</v>
      </c>
      <c r="C2120" s="8" t="s">
        <v>4930</v>
      </c>
      <c r="D2120" s="8" t="s">
        <v>4945</v>
      </c>
      <c r="E2120" s="8" t="s">
        <v>2010</v>
      </c>
      <c r="F2120" s="8" t="s">
        <v>16</v>
      </c>
      <c r="G2120" s="8"/>
      <c r="H2120" s="8"/>
      <c r="I2120" s="9" t="n">
        <v>38930</v>
      </c>
      <c r="J2120" s="8" t="s">
        <v>19</v>
      </c>
      <c r="K2120" s="8"/>
    </row>
    <row r="2121" customFormat="false" ht="12.8" hidden="false" customHeight="false" outlineLevel="0" collapsed="false">
      <c r="A2121" s="6" t="str">
        <f aca="false">HYPERLINK("https://www.fabsurplus.com/sdi_catalog/salesItemDetails.do?id=98834")</f>
        <v>https://www.fabsurplus.com/sdi_catalog/salesItemDetails.do?id=98834</v>
      </c>
      <c r="B2121" s="6" t="s">
        <v>4953</v>
      </c>
      <c r="C2121" s="6" t="s">
        <v>4930</v>
      </c>
      <c r="D2121" s="6" t="s">
        <v>4945</v>
      </c>
      <c r="E2121" s="6" t="s">
        <v>2010</v>
      </c>
      <c r="F2121" s="6" t="s">
        <v>16</v>
      </c>
      <c r="G2121" s="6" t="s">
        <v>310</v>
      </c>
      <c r="H2121" s="6"/>
      <c r="I2121" s="7" t="n">
        <v>38930</v>
      </c>
      <c r="J2121" s="6" t="s">
        <v>19</v>
      </c>
      <c r="K2121" s="6"/>
    </row>
    <row r="2122" customFormat="false" ht="12.8" hidden="false" customHeight="false" outlineLevel="0" collapsed="false">
      <c r="A2122" s="8" t="str">
        <f aca="false">HYPERLINK("https://www.fabsurplus.com/sdi_catalog/salesItemDetails.do?id=98366")</f>
        <v>https://www.fabsurplus.com/sdi_catalog/salesItemDetails.do?id=98366</v>
      </c>
      <c r="B2122" s="8" t="s">
        <v>4954</v>
      </c>
      <c r="C2122" s="8" t="s">
        <v>4930</v>
      </c>
      <c r="D2122" s="8" t="s">
        <v>4945</v>
      </c>
      <c r="E2122" s="8" t="s">
        <v>2928</v>
      </c>
      <c r="F2122" s="8" t="s">
        <v>16</v>
      </c>
      <c r="G2122" s="8" t="s">
        <v>310</v>
      </c>
      <c r="H2122" s="8"/>
      <c r="I2122" s="8"/>
      <c r="J2122" s="8" t="s">
        <v>81</v>
      </c>
      <c r="K2122" s="8"/>
    </row>
    <row r="2123" customFormat="false" ht="12.8" hidden="false" customHeight="false" outlineLevel="0" collapsed="false">
      <c r="A2123" s="6" t="str">
        <f aca="false">HYPERLINK("https://www.fabsurplus.com/sdi_catalog/salesItemDetails.do?id=98365")</f>
        <v>https://www.fabsurplus.com/sdi_catalog/salesItemDetails.do?id=98365</v>
      </c>
      <c r="B2123" s="6" t="s">
        <v>4955</v>
      </c>
      <c r="C2123" s="6" t="s">
        <v>4930</v>
      </c>
      <c r="D2123" s="6" t="s">
        <v>4945</v>
      </c>
      <c r="E2123" s="6" t="s">
        <v>2928</v>
      </c>
      <c r="F2123" s="6" t="s">
        <v>16</v>
      </c>
      <c r="G2123" s="6" t="s">
        <v>310</v>
      </c>
      <c r="H2123" s="6"/>
      <c r="I2123" s="6"/>
      <c r="J2123" s="6" t="s">
        <v>81</v>
      </c>
      <c r="K2123" s="6"/>
    </row>
    <row r="2124" customFormat="false" ht="12.8" hidden="false" customHeight="false" outlineLevel="0" collapsed="false">
      <c r="A2124" s="8" t="str">
        <f aca="false">HYPERLINK("https://www.fabsurplus.com/sdi_catalog/salesItemDetails.do?id=98364")</f>
        <v>https://www.fabsurplus.com/sdi_catalog/salesItemDetails.do?id=98364</v>
      </c>
      <c r="B2124" s="8" t="s">
        <v>4956</v>
      </c>
      <c r="C2124" s="8" t="s">
        <v>4930</v>
      </c>
      <c r="D2124" s="8" t="s">
        <v>4945</v>
      </c>
      <c r="E2124" s="8" t="s">
        <v>2928</v>
      </c>
      <c r="F2124" s="8" t="s">
        <v>16</v>
      </c>
      <c r="G2124" s="8" t="s">
        <v>310</v>
      </c>
      <c r="H2124" s="8"/>
      <c r="I2124" s="8"/>
      <c r="J2124" s="8" t="s">
        <v>81</v>
      </c>
      <c r="K2124" s="8"/>
    </row>
    <row r="2125" customFormat="false" ht="12.8" hidden="false" customHeight="false" outlineLevel="0" collapsed="false">
      <c r="A2125" s="6" t="str">
        <f aca="false">HYPERLINK("https://www.fabsurplus.com/sdi_catalog/salesItemDetails.do?id=98363")</f>
        <v>https://www.fabsurplus.com/sdi_catalog/salesItemDetails.do?id=98363</v>
      </c>
      <c r="B2125" s="6" t="s">
        <v>4957</v>
      </c>
      <c r="C2125" s="6" t="s">
        <v>4930</v>
      </c>
      <c r="D2125" s="6" t="s">
        <v>4945</v>
      </c>
      <c r="E2125" s="6" t="s">
        <v>2928</v>
      </c>
      <c r="F2125" s="6" t="s">
        <v>16</v>
      </c>
      <c r="G2125" s="6" t="s">
        <v>310</v>
      </c>
      <c r="H2125" s="6"/>
      <c r="I2125" s="7" t="n">
        <v>38139</v>
      </c>
      <c r="J2125" s="6" t="s">
        <v>81</v>
      </c>
      <c r="K2125" s="6"/>
    </row>
    <row r="2126" customFormat="false" ht="12.8" hidden="false" customHeight="false" outlineLevel="0" collapsed="false">
      <c r="A2126" s="8" t="str">
        <f aca="false">HYPERLINK("https://www.fabsurplus.com/sdi_catalog/salesItemDetails.do?id=98362")</f>
        <v>https://www.fabsurplus.com/sdi_catalog/salesItemDetails.do?id=98362</v>
      </c>
      <c r="B2126" s="8" t="s">
        <v>4958</v>
      </c>
      <c r="C2126" s="8" t="s">
        <v>4930</v>
      </c>
      <c r="D2126" s="8" t="s">
        <v>4945</v>
      </c>
      <c r="E2126" s="8" t="s">
        <v>2928</v>
      </c>
      <c r="F2126" s="8" t="s">
        <v>16</v>
      </c>
      <c r="G2126" s="8" t="s">
        <v>310</v>
      </c>
      <c r="H2126" s="8"/>
      <c r="I2126" s="8"/>
      <c r="J2126" s="8" t="s">
        <v>81</v>
      </c>
      <c r="K2126" s="8"/>
    </row>
    <row r="2127" customFormat="false" ht="12.8" hidden="false" customHeight="false" outlineLevel="0" collapsed="false">
      <c r="A2127" s="6" t="str">
        <f aca="false">HYPERLINK("https://www.fabsurplus.com/sdi_catalog/salesItemDetails.do?id=98361")</f>
        <v>https://www.fabsurplus.com/sdi_catalog/salesItemDetails.do?id=98361</v>
      </c>
      <c r="B2127" s="6" t="s">
        <v>4959</v>
      </c>
      <c r="C2127" s="6" t="s">
        <v>4930</v>
      </c>
      <c r="D2127" s="6" t="s">
        <v>4945</v>
      </c>
      <c r="E2127" s="6" t="s">
        <v>2928</v>
      </c>
      <c r="F2127" s="6" t="s">
        <v>16</v>
      </c>
      <c r="G2127" s="6" t="s">
        <v>310</v>
      </c>
      <c r="H2127" s="6"/>
      <c r="I2127" s="7" t="n">
        <v>38139</v>
      </c>
      <c r="J2127" s="6" t="s">
        <v>81</v>
      </c>
      <c r="K2127" s="6"/>
    </row>
    <row r="2128" customFormat="false" ht="12.8" hidden="false" customHeight="false" outlineLevel="0" collapsed="false">
      <c r="A2128" s="8" t="str">
        <f aca="false">HYPERLINK("https://www.fabsurplus.com/sdi_catalog/salesItemDetails.do?id=98360")</f>
        <v>https://www.fabsurplus.com/sdi_catalog/salesItemDetails.do?id=98360</v>
      </c>
      <c r="B2128" s="8" t="s">
        <v>4960</v>
      </c>
      <c r="C2128" s="8" t="s">
        <v>4930</v>
      </c>
      <c r="D2128" s="8" t="s">
        <v>4945</v>
      </c>
      <c r="E2128" s="8" t="s">
        <v>2928</v>
      </c>
      <c r="F2128" s="8" t="s">
        <v>16</v>
      </c>
      <c r="G2128" s="8" t="s">
        <v>310</v>
      </c>
      <c r="H2128" s="8"/>
      <c r="I2128" s="8"/>
      <c r="J2128" s="8" t="s">
        <v>81</v>
      </c>
      <c r="K2128" s="8"/>
    </row>
    <row r="2129" customFormat="false" ht="12.8" hidden="false" customHeight="false" outlineLevel="0" collapsed="false">
      <c r="A2129" s="6" t="str">
        <f aca="false">HYPERLINK("https://www.fabsurplus.com/sdi_catalog/salesItemDetails.do?id=98359")</f>
        <v>https://www.fabsurplus.com/sdi_catalog/salesItemDetails.do?id=98359</v>
      </c>
      <c r="B2129" s="6" t="s">
        <v>4961</v>
      </c>
      <c r="C2129" s="6" t="s">
        <v>4930</v>
      </c>
      <c r="D2129" s="6" t="s">
        <v>4945</v>
      </c>
      <c r="E2129" s="6" t="s">
        <v>2928</v>
      </c>
      <c r="F2129" s="6" t="s">
        <v>16</v>
      </c>
      <c r="G2129" s="6" t="s">
        <v>310</v>
      </c>
      <c r="H2129" s="6"/>
      <c r="I2129" s="7" t="n">
        <v>37773</v>
      </c>
      <c r="J2129" s="6" t="s">
        <v>81</v>
      </c>
      <c r="K2129" s="6"/>
    </row>
    <row r="2130" customFormat="false" ht="12.8" hidden="false" customHeight="false" outlineLevel="0" collapsed="false">
      <c r="A2130" s="6" t="str">
        <f aca="false">HYPERLINK("https://www.fabsurplus.com/sdi_catalog/salesItemDetails.do?id=98367")</f>
        <v>https://www.fabsurplus.com/sdi_catalog/salesItemDetails.do?id=98367</v>
      </c>
      <c r="B2130" s="6" t="s">
        <v>4962</v>
      </c>
      <c r="C2130" s="6" t="s">
        <v>4930</v>
      </c>
      <c r="D2130" s="6" t="s">
        <v>4963</v>
      </c>
      <c r="E2130" s="6" t="s">
        <v>2928</v>
      </c>
      <c r="F2130" s="6" t="s">
        <v>16</v>
      </c>
      <c r="G2130" s="6" t="s">
        <v>310</v>
      </c>
      <c r="H2130" s="6"/>
      <c r="I2130" s="7" t="n">
        <v>37773</v>
      </c>
      <c r="J2130" s="6" t="s">
        <v>81</v>
      </c>
      <c r="K2130" s="6"/>
    </row>
    <row r="2131" customFormat="false" ht="12.8" hidden="false" customHeight="false" outlineLevel="0" collapsed="false">
      <c r="A2131" s="8" t="str">
        <f aca="false">HYPERLINK("https://www.fabsurplus.com/sdi_catalog/salesItemDetails.do?id=98170")</f>
        <v>https://www.fabsurplus.com/sdi_catalog/salesItemDetails.do?id=98170</v>
      </c>
      <c r="B2131" s="8" t="s">
        <v>4964</v>
      </c>
      <c r="C2131" s="8" t="s">
        <v>4930</v>
      </c>
      <c r="D2131" s="8" t="s">
        <v>4965</v>
      </c>
      <c r="E2131" s="8" t="s">
        <v>2010</v>
      </c>
      <c r="F2131" s="8" t="s">
        <v>16</v>
      </c>
      <c r="G2131" s="8" t="s">
        <v>310</v>
      </c>
      <c r="H2131" s="8"/>
      <c r="I2131" s="9" t="n">
        <v>39234</v>
      </c>
      <c r="J2131" s="8" t="s">
        <v>19</v>
      </c>
      <c r="K2131" s="8"/>
    </row>
    <row r="2132" customFormat="false" ht="12.8" hidden="false" customHeight="false" outlineLevel="0" collapsed="false">
      <c r="A2132" s="6" t="str">
        <f aca="false">HYPERLINK("https://www.fabsurplus.com/sdi_catalog/salesItemDetails.do?id=96894")</f>
        <v>https://www.fabsurplus.com/sdi_catalog/salesItemDetails.do?id=96894</v>
      </c>
      <c r="B2132" s="6" t="s">
        <v>4966</v>
      </c>
      <c r="C2132" s="6" t="s">
        <v>4930</v>
      </c>
      <c r="D2132" s="6" t="s">
        <v>4967</v>
      </c>
      <c r="E2132" s="6" t="s">
        <v>2050</v>
      </c>
      <c r="F2132" s="6" t="s">
        <v>16</v>
      </c>
      <c r="G2132" s="6" t="s">
        <v>310</v>
      </c>
      <c r="H2132" s="6"/>
      <c r="I2132" s="7" t="n">
        <v>41791</v>
      </c>
      <c r="J2132" s="6" t="s">
        <v>19</v>
      </c>
      <c r="K2132" s="6"/>
    </row>
    <row r="2133" customFormat="false" ht="12.8" hidden="false" customHeight="false" outlineLevel="0" collapsed="false">
      <c r="A2133" s="8" t="str">
        <f aca="false">HYPERLINK("https://www.fabsurplus.com/sdi_catalog/salesItemDetails.do?id=100000")</f>
        <v>https://www.fabsurplus.com/sdi_catalog/salesItemDetails.do?id=100000</v>
      </c>
      <c r="B2133" s="8" t="s">
        <v>4968</v>
      </c>
      <c r="C2133" s="8" t="s">
        <v>4930</v>
      </c>
      <c r="D2133" s="8" t="s">
        <v>4969</v>
      </c>
      <c r="E2133" s="8" t="s">
        <v>2010</v>
      </c>
      <c r="F2133" s="8" t="s">
        <v>16</v>
      </c>
      <c r="G2133" s="8" t="s">
        <v>697</v>
      </c>
      <c r="H2133" s="8"/>
      <c r="I2133" s="8"/>
      <c r="J2133" s="8" t="s">
        <v>19</v>
      </c>
      <c r="K2133" s="8"/>
    </row>
    <row r="2134" customFormat="false" ht="12.8" hidden="false" customHeight="false" outlineLevel="0" collapsed="false">
      <c r="A2134" s="8" t="str">
        <f aca="false">HYPERLINK("https://www.fabsurplus.com/sdi_catalog/salesItemDetails.do?id=97208")</f>
        <v>https://www.fabsurplus.com/sdi_catalog/salesItemDetails.do?id=97208</v>
      </c>
      <c r="B2134" s="8" t="s">
        <v>4970</v>
      </c>
      <c r="C2134" s="8" t="s">
        <v>4971</v>
      </c>
      <c r="D2134" s="8" t="s">
        <v>4972</v>
      </c>
      <c r="E2134" s="8" t="s">
        <v>2212</v>
      </c>
      <c r="F2134" s="8" t="s">
        <v>16</v>
      </c>
      <c r="G2134" s="8" t="s">
        <v>434</v>
      </c>
      <c r="H2134" s="8"/>
      <c r="I2134" s="8"/>
      <c r="J2134" s="8" t="s">
        <v>19</v>
      </c>
      <c r="K2134" s="8"/>
    </row>
    <row r="2135" customFormat="false" ht="12.8" hidden="false" customHeight="false" outlineLevel="0" collapsed="false">
      <c r="A2135" s="8" t="str">
        <f aca="false">HYPERLINK("https://www.fabsurplus.com/sdi_catalog/salesItemDetails.do?id=98424")</f>
        <v>https://www.fabsurplus.com/sdi_catalog/salesItemDetails.do?id=98424</v>
      </c>
      <c r="B2135" s="8" t="s">
        <v>4973</v>
      </c>
      <c r="C2135" s="8" t="s">
        <v>4974</v>
      </c>
      <c r="D2135" s="8" t="s">
        <v>4975</v>
      </c>
      <c r="E2135" s="8" t="s">
        <v>3468</v>
      </c>
      <c r="F2135" s="8" t="s">
        <v>211</v>
      </c>
      <c r="G2135" s="8" t="s">
        <v>372</v>
      </c>
      <c r="H2135" s="8"/>
      <c r="I2135" s="8"/>
      <c r="J2135" s="8" t="s">
        <v>19</v>
      </c>
      <c r="K2135" s="8"/>
    </row>
    <row r="2136" customFormat="false" ht="12.8" hidden="false" customHeight="false" outlineLevel="0" collapsed="false">
      <c r="A2136" s="8" t="str">
        <f aca="false">HYPERLINK("https://www.fabsurplus.com/sdi_catalog/salesItemDetails.do?id=100003")</f>
        <v>https://www.fabsurplus.com/sdi_catalog/salesItemDetails.do?id=100003</v>
      </c>
      <c r="B2136" s="8" t="s">
        <v>4976</v>
      </c>
      <c r="C2136" s="8" t="s">
        <v>4977</v>
      </c>
      <c r="D2136" s="8" t="s">
        <v>4978</v>
      </c>
      <c r="E2136" s="8" t="s">
        <v>2010</v>
      </c>
      <c r="F2136" s="8" t="s">
        <v>16</v>
      </c>
      <c r="G2136" s="8" t="s">
        <v>697</v>
      </c>
      <c r="H2136" s="8"/>
      <c r="I2136" s="8"/>
      <c r="J2136" s="8" t="s">
        <v>19</v>
      </c>
      <c r="K2136" s="8"/>
    </row>
    <row r="2137" customFormat="false" ht="12.8" hidden="false" customHeight="false" outlineLevel="0" collapsed="false">
      <c r="A2137" s="6" t="str">
        <f aca="false">HYPERLINK("https://www.fabsurplus.com/sdi_catalog/salesItemDetails.do?id=100002")</f>
        <v>https://www.fabsurplus.com/sdi_catalog/salesItemDetails.do?id=100002</v>
      </c>
      <c r="B2137" s="6" t="s">
        <v>4979</v>
      </c>
      <c r="C2137" s="6" t="s">
        <v>4977</v>
      </c>
      <c r="D2137" s="6" t="s">
        <v>4978</v>
      </c>
      <c r="E2137" s="6" t="s">
        <v>2010</v>
      </c>
      <c r="F2137" s="6" t="s">
        <v>16</v>
      </c>
      <c r="G2137" s="6" t="s">
        <v>697</v>
      </c>
      <c r="H2137" s="6"/>
      <c r="I2137" s="6"/>
      <c r="J2137" s="6" t="s">
        <v>19</v>
      </c>
      <c r="K2137" s="6"/>
    </row>
    <row r="2138" customFormat="false" ht="12.8" hidden="false" customHeight="false" outlineLevel="0" collapsed="false">
      <c r="A2138" s="8" t="str">
        <f aca="false">HYPERLINK("https://www.fabsurplus.com/sdi_catalog/salesItemDetails.do?id=100001")</f>
        <v>https://www.fabsurplus.com/sdi_catalog/salesItemDetails.do?id=100001</v>
      </c>
      <c r="B2138" s="8" t="s">
        <v>4980</v>
      </c>
      <c r="C2138" s="8" t="s">
        <v>4977</v>
      </c>
      <c r="D2138" s="8" t="s">
        <v>4978</v>
      </c>
      <c r="E2138" s="8" t="s">
        <v>2010</v>
      </c>
      <c r="F2138" s="8" t="s">
        <v>16</v>
      </c>
      <c r="G2138" s="8" t="s">
        <v>697</v>
      </c>
      <c r="H2138" s="8"/>
      <c r="I2138" s="8"/>
      <c r="J2138" s="8" t="s">
        <v>19</v>
      </c>
      <c r="K2138" s="8"/>
    </row>
    <row r="2139" customFormat="false" ht="12.8" hidden="false" customHeight="false" outlineLevel="0" collapsed="false">
      <c r="A2139" s="8" t="str">
        <f aca="false">HYPERLINK("https://www.fabsurplus.com/sdi_catalog/salesItemDetails.do?id=98489")</f>
        <v>https://www.fabsurplus.com/sdi_catalog/salesItemDetails.do?id=98489</v>
      </c>
      <c r="B2139" s="8" t="s">
        <v>4981</v>
      </c>
      <c r="C2139" s="8" t="s">
        <v>4982</v>
      </c>
      <c r="D2139" s="8" t="s">
        <v>4983</v>
      </c>
      <c r="E2139" s="8" t="s">
        <v>4984</v>
      </c>
      <c r="F2139" s="8" t="s">
        <v>16</v>
      </c>
      <c r="G2139" s="8" t="s">
        <v>697</v>
      </c>
      <c r="H2139" s="8"/>
      <c r="I2139" s="8"/>
      <c r="J2139" s="8" t="s">
        <v>19</v>
      </c>
      <c r="K2139" s="8"/>
    </row>
    <row r="2140" customFormat="false" ht="12.8" hidden="false" customHeight="false" outlineLevel="0" collapsed="false">
      <c r="A2140" s="6" t="str">
        <f aca="false">HYPERLINK("https://www.fabsurplus.com/sdi_catalog/salesItemDetails.do?id=99239")</f>
        <v>https://www.fabsurplus.com/sdi_catalog/salesItemDetails.do?id=99239</v>
      </c>
      <c r="B2140" s="6" t="s">
        <v>4985</v>
      </c>
      <c r="C2140" s="6" t="s">
        <v>4986</v>
      </c>
      <c r="D2140" s="6" t="s">
        <v>4987</v>
      </c>
      <c r="E2140" s="6" t="s">
        <v>4988</v>
      </c>
      <c r="F2140" s="6" t="s">
        <v>16</v>
      </c>
      <c r="G2140" s="6" t="s">
        <v>686</v>
      </c>
      <c r="H2140" s="6"/>
      <c r="I2140" s="7" t="n">
        <v>38504</v>
      </c>
      <c r="J2140" s="6" t="s">
        <v>19</v>
      </c>
      <c r="K2140" s="6"/>
    </row>
    <row r="2141" customFormat="false" ht="12.8" hidden="false" customHeight="false" outlineLevel="0" collapsed="false">
      <c r="A2141" s="8" t="str">
        <f aca="false">HYPERLINK("https://www.fabsurplus.com/sdi_catalog/salesItemDetails.do?id=97724")</f>
        <v>https://www.fabsurplus.com/sdi_catalog/salesItemDetails.do?id=97724</v>
      </c>
      <c r="B2141" s="8" t="s">
        <v>4989</v>
      </c>
      <c r="C2141" s="8" t="s">
        <v>4986</v>
      </c>
      <c r="D2141" s="8" t="s">
        <v>4990</v>
      </c>
      <c r="E2141" s="8" t="s">
        <v>4988</v>
      </c>
      <c r="F2141" s="8" t="s">
        <v>16</v>
      </c>
      <c r="G2141" s="8" t="s">
        <v>310</v>
      </c>
      <c r="H2141" s="8"/>
      <c r="I2141" s="8"/>
      <c r="J2141" s="8" t="s">
        <v>19</v>
      </c>
      <c r="K2141" s="8"/>
    </row>
    <row r="2142" customFormat="false" ht="12.8" hidden="false" customHeight="false" outlineLevel="0" collapsed="false">
      <c r="A2142" s="8" t="str">
        <f aca="false">HYPERLINK("https://www.fabsurplus.com/sdi_catalog/salesItemDetails.do?id=96898")</f>
        <v>https://www.fabsurplus.com/sdi_catalog/salesItemDetails.do?id=96898</v>
      </c>
      <c r="B2142" s="8" t="s">
        <v>4991</v>
      </c>
      <c r="C2142" s="8" t="s">
        <v>4986</v>
      </c>
      <c r="D2142" s="8" t="s">
        <v>4990</v>
      </c>
      <c r="E2142" s="8" t="s">
        <v>4988</v>
      </c>
      <c r="F2142" s="8" t="s">
        <v>16</v>
      </c>
      <c r="G2142" s="8" t="s">
        <v>310</v>
      </c>
      <c r="H2142" s="8"/>
      <c r="I2142" s="9" t="n">
        <v>38504</v>
      </c>
      <c r="J2142" s="8" t="s">
        <v>19</v>
      </c>
      <c r="K2142" s="8"/>
    </row>
    <row r="2143" customFormat="false" ht="12.8" hidden="false" customHeight="false" outlineLevel="0" collapsed="false">
      <c r="A2143" s="6" t="str">
        <f aca="false">HYPERLINK("https://www.fabsurplus.com/sdi_catalog/salesItemDetails.do?id=96897")</f>
        <v>https://www.fabsurplus.com/sdi_catalog/salesItemDetails.do?id=96897</v>
      </c>
      <c r="B2143" s="6" t="s">
        <v>4992</v>
      </c>
      <c r="C2143" s="6" t="s">
        <v>4986</v>
      </c>
      <c r="D2143" s="6" t="s">
        <v>4990</v>
      </c>
      <c r="E2143" s="6" t="s">
        <v>4988</v>
      </c>
      <c r="F2143" s="6" t="s">
        <v>16</v>
      </c>
      <c r="G2143" s="6" t="s">
        <v>310</v>
      </c>
      <c r="H2143" s="6"/>
      <c r="I2143" s="7" t="n">
        <v>38139</v>
      </c>
      <c r="J2143" s="6" t="s">
        <v>19</v>
      </c>
      <c r="K2143" s="6"/>
    </row>
    <row r="2144" customFormat="false" ht="12.8" hidden="false" customHeight="false" outlineLevel="0" collapsed="false">
      <c r="A2144" s="6" t="str">
        <f aca="false">HYPERLINK("https://www.fabsurplus.com/sdi_catalog/salesItemDetails.do?id=97725")</f>
        <v>https://www.fabsurplus.com/sdi_catalog/salesItemDetails.do?id=97725</v>
      </c>
      <c r="B2144" s="6" t="s">
        <v>4993</v>
      </c>
      <c r="C2144" s="6" t="s">
        <v>4986</v>
      </c>
      <c r="D2144" s="6" t="s">
        <v>4994</v>
      </c>
      <c r="E2144" s="6" t="s">
        <v>4988</v>
      </c>
      <c r="F2144" s="6" t="s">
        <v>16</v>
      </c>
      <c r="G2144" s="6" t="s">
        <v>310</v>
      </c>
      <c r="H2144" s="6" t="s">
        <v>18</v>
      </c>
      <c r="I2144" s="7" t="n">
        <v>38504</v>
      </c>
      <c r="J2144" s="6" t="s">
        <v>19</v>
      </c>
      <c r="K2144" s="6" t="s">
        <v>20</v>
      </c>
    </row>
    <row r="2145" customFormat="false" ht="12.8" hidden="false" customHeight="false" outlineLevel="0" collapsed="false">
      <c r="A2145" s="8" t="str">
        <f aca="false">HYPERLINK("https://www.fabsurplus.com/sdi_catalog/salesItemDetails.do?id=97734")</f>
        <v>https://www.fabsurplus.com/sdi_catalog/salesItemDetails.do?id=97734</v>
      </c>
      <c r="B2145" s="8" t="s">
        <v>4995</v>
      </c>
      <c r="C2145" s="8" t="s">
        <v>4996</v>
      </c>
      <c r="D2145" s="8" t="s">
        <v>4997</v>
      </c>
      <c r="E2145" s="8" t="s">
        <v>3553</v>
      </c>
      <c r="F2145" s="8" t="s">
        <v>16</v>
      </c>
      <c r="G2145" s="8" t="s">
        <v>310</v>
      </c>
      <c r="H2145" s="8"/>
      <c r="I2145" s="8"/>
      <c r="J2145" s="8" t="s">
        <v>19</v>
      </c>
      <c r="K2145" s="8"/>
    </row>
    <row r="2146" customFormat="false" ht="12.8" hidden="false" customHeight="false" outlineLevel="0" collapsed="false">
      <c r="A2146" s="6" t="str">
        <f aca="false">HYPERLINK("https://www.fabsurplus.com/sdi_catalog/salesItemDetails.do?id=97733")</f>
        <v>https://www.fabsurplus.com/sdi_catalog/salesItemDetails.do?id=97733</v>
      </c>
      <c r="B2146" s="6" t="s">
        <v>4998</v>
      </c>
      <c r="C2146" s="6" t="s">
        <v>4996</v>
      </c>
      <c r="D2146" s="6" t="s">
        <v>4997</v>
      </c>
      <c r="E2146" s="6" t="s">
        <v>3553</v>
      </c>
      <c r="F2146" s="6" t="s">
        <v>16</v>
      </c>
      <c r="G2146" s="6" t="s">
        <v>310</v>
      </c>
      <c r="H2146" s="6"/>
      <c r="I2146" s="6"/>
      <c r="J2146" s="6" t="s">
        <v>19</v>
      </c>
      <c r="K2146" s="6"/>
    </row>
    <row r="2147" customFormat="false" ht="12.8" hidden="false" customHeight="false" outlineLevel="0" collapsed="false">
      <c r="A2147" s="8" t="str">
        <f aca="false">HYPERLINK("https://www.fabsurplus.com/sdi_catalog/salesItemDetails.do?id=97732")</f>
        <v>https://www.fabsurplus.com/sdi_catalog/salesItemDetails.do?id=97732</v>
      </c>
      <c r="B2147" s="8" t="s">
        <v>4999</v>
      </c>
      <c r="C2147" s="8" t="s">
        <v>4996</v>
      </c>
      <c r="D2147" s="8" t="s">
        <v>4997</v>
      </c>
      <c r="E2147" s="8" t="s">
        <v>3553</v>
      </c>
      <c r="F2147" s="8" t="s">
        <v>16</v>
      </c>
      <c r="G2147" s="8" t="s">
        <v>310</v>
      </c>
      <c r="H2147" s="8"/>
      <c r="I2147" s="9" t="n">
        <v>41579</v>
      </c>
      <c r="J2147" s="8" t="s">
        <v>19</v>
      </c>
      <c r="K2147" s="8"/>
    </row>
    <row r="2148" customFormat="false" ht="12.8" hidden="false" customHeight="false" outlineLevel="0" collapsed="false">
      <c r="A2148" s="6" t="str">
        <f aca="false">HYPERLINK("https://www.fabsurplus.com/sdi_catalog/salesItemDetails.do?id=99430")</f>
        <v>https://www.fabsurplus.com/sdi_catalog/salesItemDetails.do?id=99430</v>
      </c>
      <c r="B2148" s="6" t="s">
        <v>5000</v>
      </c>
      <c r="C2148" s="6" t="s">
        <v>5001</v>
      </c>
      <c r="D2148" s="6" t="s">
        <v>5002</v>
      </c>
      <c r="E2148" s="6" t="s">
        <v>5003</v>
      </c>
      <c r="F2148" s="6" t="s">
        <v>16</v>
      </c>
      <c r="G2148" s="6" t="s">
        <v>32</v>
      </c>
      <c r="H2148" s="6"/>
      <c r="I2148" s="6"/>
      <c r="J2148" s="6" t="s">
        <v>19</v>
      </c>
      <c r="K2148" s="6"/>
    </row>
    <row r="2149" customFormat="false" ht="12.8" hidden="false" customHeight="false" outlineLevel="0" collapsed="false">
      <c r="A2149" s="6" t="str">
        <f aca="false">HYPERLINK("https://www.fabsurplus.com/sdi_catalog/salesItemDetails.do?id=96900")</f>
        <v>https://www.fabsurplus.com/sdi_catalog/salesItemDetails.do?id=96900</v>
      </c>
      <c r="B2149" s="6" t="s">
        <v>5004</v>
      </c>
      <c r="C2149" s="6" t="s">
        <v>5001</v>
      </c>
      <c r="D2149" s="6" t="s">
        <v>5005</v>
      </c>
      <c r="E2149" s="6" t="s">
        <v>5006</v>
      </c>
      <c r="F2149" s="6" t="s">
        <v>16</v>
      </c>
      <c r="G2149" s="6" t="s">
        <v>310</v>
      </c>
      <c r="H2149" s="6"/>
      <c r="I2149" s="6"/>
      <c r="J2149" s="6" t="s">
        <v>19</v>
      </c>
      <c r="K2149" s="6"/>
    </row>
    <row r="2150" customFormat="false" ht="12.8" hidden="false" customHeight="false" outlineLevel="0" collapsed="false">
      <c r="A2150" s="8" t="str">
        <f aca="false">HYPERLINK("https://www.fabsurplus.com/sdi_catalog/salesItemDetails.do?id=100797")</f>
        <v>https://www.fabsurplus.com/sdi_catalog/salesItemDetails.do?id=100797</v>
      </c>
      <c r="B2150" s="8" t="s">
        <v>5007</v>
      </c>
      <c r="C2150" s="8" t="s">
        <v>5001</v>
      </c>
      <c r="D2150" s="8" t="s">
        <v>5008</v>
      </c>
      <c r="E2150" s="8" t="s">
        <v>5009</v>
      </c>
      <c r="F2150" s="8" t="s">
        <v>16</v>
      </c>
      <c r="G2150" s="8" t="s">
        <v>32</v>
      </c>
      <c r="H2150" s="8"/>
      <c r="I2150" s="9" t="n">
        <v>34851</v>
      </c>
      <c r="J2150" s="8" t="s">
        <v>81</v>
      </c>
      <c r="K2150" s="8"/>
    </row>
    <row r="2151" customFormat="false" ht="12.8" hidden="false" customHeight="false" outlineLevel="0" collapsed="false">
      <c r="A2151" s="6" t="str">
        <f aca="false">HYPERLINK("https://www.fabsurplus.com/sdi_catalog/salesItemDetails.do?id=100234")</f>
        <v>https://www.fabsurplus.com/sdi_catalog/salesItemDetails.do?id=100234</v>
      </c>
      <c r="B2151" s="6" t="s">
        <v>5010</v>
      </c>
      <c r="C2151" s="6" t="s">
        <v>5011</v>
      </c>
      <c r="D2151" s="6" t="s">
        <v>5012</v>
      </c>
      <c r="E2151" s="6" t="s">
        <v>3113</v>
      </c>
      <c r="F2151" s="6" t="s">
        <v>16</v>
      </c>
      <c r="G2151" s="6" t="s">
        <v>2501</v>
      </c>
      <c r="H2151" s="6"/>
      <c r="I2151" s="6"/>
      <c r="J2151" s="6" t="s">
        <v>19</v>
      </c>
      <c r="K2151" s="6"/>
    </row>
    <row r="2152" customFormat="false" ht="12.8" hidden="false" customHeight="false" outlineLevel="0" collapsed="false">
      <c r="A2152" s="6" t="str">
        <f aca="false">HYPERLINK("https://www.fabsurplus.com/sdi_catalog/salesItemDetails.do?id=97174")</f>
        <v>https://www.fabsurplus.com/sdi_catalog/salesItemDetails.do?id=97174</v>
      </c>
      <c r="B2152" s="6" t="s">
        <v>5013</v>
      </c>
      <c r="C2152" s="6" t="s">
        <v>5014</v>
      </c>
      <c r="D2152" s="6" t="s">
        <v>5015</v>
      </c>
      <c r="E2152" s="6" t="s">
        <v>2980</v>
      </c>
      <c r="F2152" s="6" t="s">
        <v>16</v>
      </c>
      <c r="G2152" s="6" t="s">
        <v>2997</v>
      </c>
      <c r="H2152" s="6"/>
      <c r="I2152" s="7" t="n">
        <v>42522</v>
      </c>
      <c r="J2152" s="6"/>
      <c r="K2152" s="6"/>
    </row>
    <row r="2153" customFormat="false" ht="12.8" hidden="false" customHeight="false" outlineLevel="0" collapsed="false">
      <c r="A2153" s="8" t="str">
        <f aca="false">HYPERLINK("https://www.fabsurplus.com/sdi_catalog/salesItemDetails.do?id=98731")</f>
        <v>https://www.fabsurplus.com/sdi_catalog/salesItemDetails.do?id=98731</v>
      </c>
      <c r="B2153" s="8" t="s">
        <v>5016</v>
      </c>
      <c r="C2153" s="8" t="s">
        <v>5017</v>
      </c>
      <c r="D2153" s="8" t="s">
        <v>5018</v>
      </c>
      <c r="E2153" s="8" t="s">
        <v>5019</v>
      </c>
      <c r="F2153" s="8" t="s">
        <v>16</v>
      </c>
      <c r="G2153" s="8" t="s">
        <v>417</v>
      </c>
      <c r="H2153" s="8" t="s">
        <v>18</v>
      </c>
      <c r="I2153" s="9" t="n">
        <v>39508</v>
      </c>
      <c r="J2153" s="8" t="s">
        <v>19</v>
      </c>
      <c r="K2153" s="8" t="s">
        <v>20</v>
      </c>
    </row>
    <row r="2154" customFormat="false" ht="12.8" hidden="false" customHeight="false" outlineLevel="0" collapsed="false">
      <c r="A2154" s="8" t="str">
        <f aca="false">HYPERLINK("https://www.fabsurplus.com/sdi_catalog/salesItemDetails.do?id=98491")</f>
        <v>https://www.fabsurplus.com/sdi_catalog/salesItemDetails.do?id=98491</v>
      </c>
      <c r="B2154" s="8" t="s">
        <v>5020</v>
      </c>
      <c r="C2154" s="8" t="s">
        <v>419</v>
      </c>
      <c r="D2154" s="8" t="s">
        <v>5021</v>
      </c>
      <c r="E2154" s="8" t="s">
        <v>2179</v>
      </c>
      <c r="F2154" s="8" t="s">
        <v>16</v>
      </c>
      <c r="G2154" s="8" t="s">
        <v>697</v>
      </c>
      <c r="H2154" s="8"/>
      <c r="I2154" s="8"/>
      <c r="J2154" s="8" t="s">
        <v>19</v>
      </c>
      <c r="K2154" s="8"/>
    </row>
    <row r="2155" customFormat="false" ht="12.8" hidden="false" customHeight="false" outlineLevel="0" collapsed="false">
      <c r="A2155" s="6" t="str">
        <f aca="false">HYPERLINK("https://www.fabsurplus.com/sdi_catalog/salesItemDetails.do?id=98490")</f>
        <v>https://www.fabsurplus.com/sdi_catalog/salesItemDetails.do?id=98490</v>
      </c>
      <c r="B2155" s="6" t="s">
        <v>5022</v>
      </c>
      <c r="C2155" s="6" t="s">
        <v>419</v>
      </c>
      <c r="D2155" s="6" t="s">
        <v>5023</v>
      </c>
      <c r="E2155" s="6" t="s">
        <v>2179</v>
      </c>
      <c r="F2155" s="6" t="s">
        <v>16</v>
      </c>
      <c r="G2155" s="6" t="s">
        <v>697</v>
      </c>
      <c r="H2155" s="6"/>
      <c r="I2155" s="6"/>
      <c r="J2155" s="6" t="s">
        <v>19</v>
      </c>
      <c r="K2155" s="6"/>
    </row>
    <row r="2156" customFormat="false" ht="12.8" hidden="false" customHeight="false" outlineLevel="0" collapsed="false">
      <c r="A2156" s="6" t="str">
        <f aca="false">HYPERLINK("https://www.fabsurplus.com/sdi_catalog/salesItemDetails.do?id=98492")</f>
        <v>https://www.fabsurplus.com/sdi_catalog/salesItemDetails.do?id=98492</v>
      </c>
      <c r="B2156" s="6" t="s">
        <v>5024</v>
      </c>
      <c r="C2156" s="6" t="s">
        <v>419</v>
      </c>
      <c r="D2156" s="6" t="s">
        <v>5025</v>
      </c>
      <c r="E2156" s="6" t="s">
        <v>2179</v>
      </c>
      <c r="F2156" s="6" t="s">
        <v>16</v>
      </c>
      <c r="G2156" s="6" t="s">
        <v>697</v>
      </c>
      <c r="H2156" s="6"/>
      <c r="I2156" s="6"/>
      <c r="J2156" s="6" t="s">
        <v>19</v>
      </c>
      <c r="K2156" s="6"/>
    </row>
    <row r="2157" customFormat="false" ht="12.8" hidden="false" customHeight="false" outlineLevel="0" collapsed="false">
      <c r="A2157" s="6" t="str">
        <f aca="false">HYPERLINK("https://www.fabsurplus.com/sdi_catalog/salesItemDetails.do?id=99341")</f>
        <v>https://www.fabsurplus.com/sdi_catalog/salesItemDetails.do?id=99341</v>
      </c>
      <c r="B2157" s="6" t="s">
        <v>5026</v>
      </c>
      <c r="C2157" s="6" t="s">
        <v>5027</v>
      </c>
      <c r="D2157" s="6" t="s">
        <v>5028</v>
      </c>
      <c r="E2157" s="6" t="s">
        <v>5029</v>
      </c>
      <c r="F2157" s="6" t="s">
        <v>16</v>
      </c>
      <c r="G2157" s="6"/>
      <c r="H2157" s="6"/>
      <c r="I2157" s="7" t="n">
        <v>34851</v>
      </c>
      <c r="J2157" s="6" t="s">
        <v>19</v>
      </c>
      <c r="K2157" s="6"/>
    </row>
    <row r="2158" customFormat="false" ht="12.8" hidden="false" customHeight="false" outlineLevel="0" collapsed="false">
      <c r="A2158" s="6" t="str">
        <f aca="false">HYPERLINK("https://www.fabsurplus.com/sdi_catalog/salesItemDetails.do?id=100236")</f>
        <v>https://www.fabsurplus.com/sdi_catalog/salesItemDetails.do?id=100236</v>
      </c>
      <c r="B2158" s="6" t="s">
        <v>5030</v>
      </c>
      <c r="C2158" s="6" t="s">
        <v>5031</v>
      </c>
      <c r="D2158" s="6" t="s">
        <v>5032</v>
      </c>
      <c r="E2158" s="6" t="s">
        <v>4422</v>
      </c>
      <c r="F2158" s="6" t="s">
        <v>16</v>
      </c>
      <c r="G2158" s="6" t="s">
        <v>686</v>
      </c>
      <c r="H2158" s="6"/>
      <c r="I2158" s="7" t="n">
        <v>39234</v>
      </c>
      <c r="J2158" s="6" t="s">
        <v>19</v>
      </c>
      <c r="K2158" s="6"/>
    </row>
    <row r="2159" customFormat="false" ht="12.8" hidden="false" customHeight="false" outlineLevel="0" collapsed="false">
      <c r="A2159" s="8" t="str">
        <f aca="false">HYPERLINK("https://www.fabsurplus.com/sdi_catalog/salesItemDetails.do?id=100235")</f>
        <v>https://www.fabsurplus.com/sdi_catalog/salesItemDetails.do?id=100235</v>
      </c>
      <c r="B2159" s="8" t="s">
        <v>5033</v>
      </c>
      <c r="C2159" s="8" t="s">
        <v>5031</v>
      </c>
      <c r="D2159" s="8" t="s">
        <v>5032</v>
      </c>
      <c r="E2159" s="8" t="s">
        <v>4422</v>
      </c>
      <c r="F2159" s="8" t="s">
        <v>16</v>
      </c>
      <c r="G2159" s="8" t="s">
        <v>686</v>
      </c>
      <c r="H2159" s="8"/>
      <c r="I2159" s="9" t="n">
        <v>38869</v>
      </c>
      <c r="J2159" s="8" t="s">
        <v>19</v>
      </c>
      <c r="K2159" s="8"/>
    </row>
    <row r="2160" customFormat="false" ht="12.8" hidden="false" customHeight="false" outlineLevel="0" collapsed="false">
      <c r="A2160" s="6" t="str">
        <f aca="false">HYPERLINK("https://www.fabsurplus.com/sdi_catalog/salesItemDetails.do?id=99036")</f>
        <v>https://www.fabsurplus.com/sdi_catalog/salesItemDetails.do?id=99036</v>
      </c>
      <c r="B2160" s="6" t="s">
        <v>5034</v>
      </c>
      <c r="C2160" s="6" t="s">
        <v>5035</v>
      </c>
      <c r="D2160" s="6" t="s">
        <v>5036</v>
      </c>
      <c r="E2160" s="6" t="s">
        <v>5037</v>
      </c>
      <c r="F2160" s="6" t="s">
        <v>16</v>
      </c>
      <c r="G2160" s="6"/>
      <c r="H2160" s="6"/>
      <c r="I2160" s="7" t="n">
        <v>37742</v>
      </c>
      <c r="J2160" s="6" t="s">
        <v>19</v>
      </c>
      <c r="K2160" s="6"/>
    </row>
    <row r="2161" customFormat="false" ht="12.8" hidden="false" customHeight="false" outlineLevel="0" collapsed="false">
      <c r="A2161" s="8" t="str">
        <f aca="false">HYPERLINK("https://www.fabsurplus.com/sdi_catalog/salesItemDetails.do?id=99035")</f>
        <v>https://www.fabsurplus.com/sdi_catalog/salesItemDetails.do?id=99035</v>
      </c>
      <c r="B2161" s="8" t="s">
        <v>5038</v>
      </c>
      <c r="C2161" s="8" t="s">
        <v>5035</v>
      </c>
      <c r="D2161" s="8" t="s">
        <v>5036</v>
      </c>
      <c r="E2161" s="8" t="s">
        <v>5039</v>
      </c>
      <c r="F2161" s="8" t="s">
        <v>16</v>
      </c>
      <c r="G2161" s="8"/>
      <c r="H2161" s="8"/>
      <c r="I2161" s="9" t="n">
        <v>38047</v>
      </c>
      <c r="J2161" s="8" t="s">
        <v>19</v>
      </c>
      <c r="K2161" s="8"/>
    </row>
    <row r="2162" customFormat="false" ht="12.8" hidden="false" customHeight="false" outlineLevel="0" collapsed="false">
      <c r="A2162" s="8" t="str">
        <f aca="false">HYPERLINK("https://www.fabsurplus.com/sdi_catalog/salesItemDetails.do?id=98835")</f>
        <v>https://www.fabsurplus.com/sdi_catalog/salesItemDetails.do?id=98835</v>
      </c>
      <c r="B2162" s="8" t="s">
        <v>5040</v>
      </c>
      <c r="C2162" s="8" t="s">
        <v>5035</v>
      </c>
      <c r="D2162" s="8" t="s">
        <v>5036</v>
      </c>
      <c r="E2162" s="8" t="s">
        <v>5039</v>
      </c>
      <c r="F2162" s="8" t="s">
        <v>16</v>
      </c>
      <c r="G2162" s="8" t="s">
        <v>310</v>
      </c>
      <c r="H2162" s="8" t="s">
        <v>18</v>
      </c>
      <c r="I2162" s="9" t="n">
        <v>38169</v>
      </c>
      <c r="J2162" s="8" t="s">
        <v>19</v>
      </c>
      <c r="K2162" s="8" t="s">
        <v>20</v>
      </c>
    </row>
    <row r="2163" customFormat="false" ht="12.8" hidden="false" customHeight="false" outlineLevel="0" collapsed="false">
      <c r="A2163" s="8" t="str">
        <f aca="false">HYPERLINK("https://www.fabsurplus.com/sdi_catalog/salesItemDetails.do?id=98902")</f>
        <v>https://www.fabsurplus.com/sdi_catalog/salesItemDetails.do?id=98902</v>
      </c>
      <c r="B2163" s="8" t="s">
        <v>5041</v>
      </c>
      <c r="C2163" s="8" t="s">
        <v>5035</v>
      </c>
      <c r="D2163" s="8" t="s">
        <v>5036</v>
      </c>
      <c r="E2163" s="8" t="s">
        <v>3564</v>
      </c>
      <c r="F2163" s="8" t="s">
        <v>16</v>
      </c>
      <c r="G2163" s="8" t="s">
        <v>310</v>
      </c>
      <c r="H2163" s="8"/>
      <c r="I2163" s="9" t="n">
        <v>38504</v>
      </c>
      <c r="J2163" s="8" t="s">
        <v>19</v>
      </c>
      <c r="K2163" s="8"/>
    </row>
    <row r="2164" customFormat="false" ht="12.8" hidden="false" customHeight="false" outlineLevel="0" collapsed="false">
      <c r="A2164" s="6" t="str">
        <f aca="false">HYPERLINK("https://www.fabsurplus.com/sdi_catalog/salesItemDetails.do?id=98836")</f>
        <v>https://www.fabsurplus.com/sdi_catalog/salesItemDetails.do?id=98836</v>
      </c>
      <c r="B2164" s="6" t="s">
        <v>5042</v>
      </c>
      <c r="C2164" s="6" t="s">
        <v>5035</v>
      </c>
      <c r="D2164" s="6" t="s">
        <v>5043</v>
      </c>
      <c r="E2164" s="6" t="s">
        <v>5037</v>
      </c>
      <c r="F2164" s="6" t="s">
        <v>16</v>
      </c>
      <c r="G2164" s="6" t="s">
        <v>310</v>
      </c>
      <c r="H2164" s="6"/>
      <c r="I2164" s="7" t="n">
        <v>39114</v>
      </c>
      <c r="J2164" s="6" t="s">
        <v>19</v>
      </c>
      <c r="K2164" s="6"/>
    </row>
    <row r="2165" customFormat="false" ht="12.8" hidden="false" customHeight="false" outlineLevel="0" collapsed="false">
      <c r="A2165" s="6" t="str">
        <f aca="false">HYPERLINK("https://www.fabsurplus.com/sdi_catalog/salesItemDetails.do?id=98297")</f>
        <v>https://www.fabsurplus.com/sdi_catalog/salesItemDetails.do?id=98297</v>
      </c>
      <c r="B2165" s="6" t="s">
        <v>5044</v>
      </c>
      <c r="C2165" s="6" t="s">
        <v>5035</v>
      </c>
      <c r="D2165" s="6" t="s">
        <v>5045</v>
      </c>
      <c r="E2165" s="6" t="s">
        <v>5046</v>
      </c>
      <c r="F2165" s="6" t="s">
        <v>16</v>
      </c>
      <c r="G2165" s="6" t="s">
        <v>310</v>
      </c>
      <c r="H2165" s="6"/>
      <c r="I2165" s="6"/>
      <c r="J2165" s="6" t="s">
        <v>19</v>
      </c>
      <c r="K2165" s="6"/>
    </row>
    <row r="2166" customFormat="false" ht="12.8" hidden="false" customHeight="false" outlineLevel="0" collapsed="false">
      <c r="A2166" s="8" t="str">
        <f aca="false">HYPERLINK("https://www.fabsurplus.com/sdi_catalog/salesItemDetails.do?id=98296")</f>
        <v>https://www.fabsurplus.com/sdi_catalog/salesItemDetails.do?id=98296</v>
      </c>
      <c r="B2166" s="8" t="s">
        <v>5047</v>
      </c>
      <c r="C2166" s="8" t="s">
        <v>5035</v>
      </c>
      <c r="D2166" s="8" t="s">
        <v>5045</v>
      </c>
      <c r="E2166" s="8" t="s">
        <v>5046</v>
      </c>
      <c r="F2166" s="8" t="s">
        <v>16</v>
      </c>
      <c r="G2166" s="8" t="s">
        <v>310</v>
      </c>
      <c r="H2166" s="8"/>
      <c r="I2166" s="8"/>
      <c r="J2166" s="8" t="s">
        <v>19</v>
      </c>
      <c r="K2166" s="8"/>
    </row>
    <row r="2167" customFormat="false" ht="12.8" hidden="false" customHeight="false" outlineLevel="0" collapsed="false">
      <c r="A2167" s="6" t="str">
        <f aca="false">HYPERLINK("https://www.fabsurplus.com/sdi_catalog/salesItemDetails.do?id=97030")</f>
        <v>https://www.fabsurplus.com/sdi_catalog/salesItemDetails.do?id=97030</v>
      </c>
      <c r="B2167" s="6" t="s">
        <v>5048</v>
      </c>
      <c r="C2167" s="6" t="s">
        <v>5035</v>
      </c>
      <c r="D2167" s="6" t="s">
        <v>5049</v>
      </c>
      <c r="E2167" s="6" t="s">
        <v>3591</v>
      </c>
      <c r="F2167" s="6" t="s">
        <v>16</v>
      </c>
      <c r="G2167" s="6" t="s">
        <v>32</v>
      </c>
      <c r="H2167" s="6"/>
      <c r="I2167" s="7" t="n">
        <v>36678</v>
      </c>
      <c r="J2167" s="6" t="s">
        <v>19</v>
      </c>
      <c r="K2167" s="6"/>
    </row>
    <row r="2168" customFormat="false" ht="12.8" hidden="false" customHeight="false" outlineLevel="0" collapsed="false">
      <c r="A2168" s="8" t="str">
        <f aca="false">HYPERLINK("https://www.fabsurplus.com/sdi_catalog/salesItemDetails.do?id=97031")</f>
        <v>https://www.fabsurplus.com/sdi_catalog/salesItemDetails.do?id=97031</v>
      </c>
      <c r="B2168" s="8" t="s">
        <v>5050</v>
      </c>
      <c r="C2168" s="8" t="s">
        <v>5035</v>
      </c>
      <c r="D2168" s="8" t="s">
        <v>5051</v>
      </c>
      <c r="E2168" s="8" t="s">
        <v>3591</v>
      </c>
      <c r="F2168" s="8" t="s">
        <v>16</v>
      </c>
      <c r="G2168" s="8" t="s">
        <v>310</v>
      </c>
      <c r="H2168" s="8"/>
      <c r="I2168" s="9" t="n">
        <v>40695</v>
      </c>
      <c r="J2168" s="8" t="s">
        <v>19</v>
      </c>
      <c r="K2168" s="8"/>
    </row>
    <row r="2169" customFormat="false" ht="12.8" hidden="false" customHeight="false" outlineLevel="0" collapsed="false">
      <c r="A2169" s="8" t="str">
        <f aca="false">HYPERLINK("https://www.fabsurplus.com/sdi_catalog/salesItemDetails.do?id=98298")</f>
        <v>https://www.fabsurplus.com/sdi_catalog/salesItemDetails.do?id=98298</v>
      </c>
      <c r="B2169" s="8" t="s">
        <v>5052</v>
      </c>
      <c r="C2169" s="8" t="s">
        <v>5035</v>
      </c>
      <c r="D2169" s="8" t="s">
        <v>5053</v>
      </c>
      <c r="E2169" s="8" t="s">
        <v>5046</v>
      </c>
      <c r="F2169" s="8" t="s">
        <v>16</v>
      </c>
      <c r="G2169" s="8" t="s">
        <v>310</v>
      </c>
      <c r="H2169" s="8"/>
      <c r="I2169" s="9" t="n">
        <v>39234</v>
      </c>
      <c r="J2169" s="8" t="s">
        <v>19</v>
      </c>
      <c r="K2169" s="8"/>
    </row>
    <row r="2170" customFormat="false" ht="12.8" hidden="false" customHeight="false" outlineLevel="0" collapsed="false">
      <c r="A2170" s="8" t="str">
        <f aca="false">HYPERLINK("https://www.fabsurplus.com/sdi_catalog/salesItemDetails.do?id=98837")</f>
        <v>https://www.fabsurplus.com/sdi_catalog/salesItemDetails.do?id=98837</v>
      </c>
      <c r="B2170" s="8" t="s">
        <v>5054</v>
      </c>
      <c r="C2170" s="8" t="s">
        <v>5035</v>
      </c>
      <c r="D2170" s="8" t="s">
        <v>5055</v>
      </c>
      <c r="E2170" s="8" t="s">
        <v>3553</v>
      </c>
      <c r="F2170" s="8" t="s">
        <v>16</v>
      </c>
      <c r="G2170" s="8" t="s">
        <v>310</v>
      </c>
      <c r="H2170" s="8" t="s">
        <v>18</v>
      </c>
      <c r="I2170" s="9" t="n">
        <v>39569</v>
      </c>
      <c r="J2170" s="8" t="s">
        <v>19</v>
      </c>
      <c r="K2170" s="8" t="s">
        <v>20</v>
      </c>
    </row>
    <row r="2171" customFormat="false" ht="12.8" hidden="false" customHeight="false" outlineLevel="0" collapsed="false">
      <c r="A2171" s="6" t="str">
        <f aca="false">HYPERLINK("https://www.fabsurplus.com/sdi_catalog/salesItemDetails.do?id=98493")</f>
        <v>https://www.fabsurplus.com/sdi_catalog/salesItemDetails.do?id=98493</v>
      </c>
      <c r="B2171" s="6" t="s">
        <v>5056</v>
      </c>
      <c r="C2171" s="6" t="s">
        <v>5031</v>
      </c>
      <c r="D2171" s="6" t="s">
        <v>5057</v>
      </c>
      <c r="E2171" s="6" t="s">
        <v>5058</v>
      </c>
      <c r="F2171" s="6" t="s">
        <v>626</v>
      </c>
      <c r="G2171" s="6" t="s">
        <v>697</v>
      </c>
      <c r="H2171" s="6"/>
      <c r="I2171" s="6"/>
      <c r="J2171" s="6" t="s">
        <v>19</v>
      </c>
      <c r="K2171" s="6"/>
    </row>
    <row r="2172" customFormat="false" ht="12.8" hidden="false" customHeight="false" outlineLevel="0" collapsed="false">
      <c r="A2172" s="8" t="str">
        <f aca="false">HYPERLINK("https://www.fabsurplus.com/sdi_catalog/salesItemDetails.do?id=98494")</f>
        <v>https://www.fabsurplus.com/sdi_catalog/salesItemDetails.do?id=98494</v>
      </c>
      <c r="B2172" s="8" t="s">
        <v>5059</v>
      </c>
      <c r="C2172" s="8" t="s">
        <v>5031</v>
      </c>
      <c r="D2172" s="8" t="s">
        <v>5060</v>
      </c>
      <c r="E2172" s="8" t="s">
        <v>5058</v>
      </c>
      <c r="F2172" s="8" t="s">
        <v>16</v>
      </c>
      <c r="G2172" s="8" t="s">
        <v>686</v>
      </c>
      <c r="H2172" s="8"/>
      <c r="I2172" s="8"/>
      <c r="J2172" s="8" t="s">
        <v>19</v>
      </c>
      <c r="K2172" s="8"/>
    </row>
    <row r="2173" customFormat="false" ht="12.8" hidden="false" customHeight="false" outlineLevel="0" collapsed="false">
      <c r="A2173" s="6" t="str">
        <f aca="false">HYPERLINK("https://www.fabsurplus.com/sdi_catalog/salesItemDetails.do?id=98171")</f>
        <v>https://www.fabsurplus.com/sdi_catalog/salesItemDetails.do?id=98171</v>
      </c>
      <c r="B2173" s="6" t="s">
        <v>5061</v>
      </c>
      <c r="C2173" s="6" t="s">
        <v>5031</v>
      </c>
      <c r="D2173" s="6" t="s">
        <v>5062</v>
      </c>
      <c r="E2173" s="6" t="s">
        <v>5063</v>
      </c>
      <c r="F2173" s="6" t="s">
        <v>16</v>
      </c>
      <c r="G2173" s="6" t="s">
        <v>32</v>
      </c>
      <c r="H2173" s="6"/>
      <c r="I2173" s="7" t="n">
        <v>39234</v>
      </c>
      <c r="J2173" s="6" t="s">
        <v>19</v>
      </c>
      <c r="K2173" s="6"/>
    </row>
    <row r="2174" customFormat="false" ht="12.8" hidden="false" customHeight="false" outlineLevel="0" collapsed="false">
      <c r="A2174" s="6" t="str">
        <f aca="false">HYPERLINK("https://www.fabsurplus.com/sdi_catalog/salesItemDetails.do?id=97965")</f>
        <v>https://www.fabsurplus.com/sdi_catalog/salesItemDetails.do?id=97965</v>
      </c>
      <c r="B2174" s="6" t="s">
        <v>5064</v>
      </c>
      <c r="C2174" s="6" t="s">
        <v>5035</v>
      </c>
      <c r="D2174" s="6" t="s">
        <v>5065</v>
      </c>
      <c r="E2174" s="6" t="s">
        <v>5066</v>
      </c>
      <c r="F2174" s="6" t="s">
        <v>16</v>
      </c>
      <c r="G2174" s="6" t="s">
        <v>1455</v>
      </c>
      <c r="H2174" s="6"/>
      <c r="I2174" s="6"/>
      <c r="J2174" s="6" t="s">
        <v>81</v>
      </c>
      <c r="K2174" s="6"/>
    </row>
    <row r="2175" customFormat="false" ht="12.8" hidden="false" customHeight="false" outlineLevel="0" collapsed="false">
      <c r="A2175" s="6" t="str">
        <f aca="false">HYPERLINK("https://www.fabsurplus.com/sdi_catalog/salesItemDetails.do?id=97032")</f>
        <v>https://www.fabsurplus.com/sdi_catalog/salesItemDetails.do?id=97032</v>
      </c>
      <c r="B2175" s="6" t="s">
        <v>5067</v>
      </c>
      <c r="C2175" s="6" t="s">
        <v>5035</v>
      </c>
      <c r="D2175" s="6" t="s">
        <v>5068</v>
      </c>
      <c r="E2175" s="6" t="s">
        <v>5069</v>
      </c>
      <c r="F2175" s="6" t="s">
        <v>16</v>
      </c>
      <c r="G2175" s="6" t="s">
        <v>32</v>
      </c>
      <c r="H2175" s="6"/>
      <c r="I2175" s="7" t="n">
        <v>35217</v>
      </c>
      <c r="J2175" s="6" t="s">
        <v>19</v>
      </c>
      <c r="K2175" s="6"/>
    </row>
    <row r="2176" customFormat="false" ht="12.8" hidden="false" customHeight="false" outlineLevel="0" collapsed="false">
      <c r="A2176" s="8" t="str">
        <f aca="false">HYPERLINK("https://www.fabsurplus.com/sdi_catalog/salesItemDetails.do?id=99037")</f>
        <v>https://www.fabsurplus.com/sdi_catalog/salesItemDetails.do?id=99037</v>
      </c>
      <c r="B2176" s="8" t="s">
        <v>5070</v>
      </c>
      <c r="C2176" s="8" t="s">
        <v>5035</v>
      </c>
      <c r="D2176" s="8" t="s">
        <v>5071</v>
      </c>
      <c r="E2176" s="8" t="s">
        <v>5072</v>
      </c>
      <c r="F2176" s="8" t="s">
        <v>16</v>
      </c>
      <c r="G2176" s="8"/>
      <c r="H2176" s="8"/>
      <c r="I2176" s="9" t="n">
        <v>41030</v>
      </c>
      <c r="J2176" s="8" t="s">
        <v>19</v>
      </c>
      <c r="K2176" s="8"/>
    </row>
    <row r="2177" customFormat="false" ht="12.8" hidden="false" customHeight="false" outlineLevel="0" collapsed="false">
      <c r="A2177" s="6" t="str">
        <f aca="false">HYPERLINK("https://www.fabsurplus.com/sdi_catalog/salesItemDetails.do?id=98838")</f>
        <v>https://www.fabsurplus.com/sdi_catalog/salesItemDetails.do?id=98838</v>
      </c>
      <c r="B2177" s="6" t="s">
        <v>5073</v>
      </c>
      <c r="C2177" s="6" t="s">
        <v>5035</v>
      </c>
      <c r="D2177" s="6" t="s">
        <v>5071</v>
      </c>
      <c r="E2177" s="6" t="s">
        <v>5074</v>
      </c>
      <c r="F2177" s="6" t="s">
        <v>16</v>
      </c>
      <c r="G2177" s="6" t="s">
        <v>310</v>
      </c>
      <c r="H2177" s="6"/>
      <c r="I2177" s="7" t="n">
        <v>41061</v>
      </c>
      <c r="J2177" s="6" t="s">
        <v>19</v>
      </c>
      <c r="K2177" s="6"/>
    </row>
    <row r="2178" customFormat="false" ht="12.8" hidden="false" customHeight="false" outlineLevel="0" collapsed="false">
      <c r="A2178" s="6" t="str">
        <f aca="false">HYPERLINK("https://www.fabsurplus.com/sdi_catalog/salesItemDetails.do?id=97966")</f>
        <v>https://www.fabsurplus.com/sdi_catalog/salesItemDetails.do?id=97966</v>
      </c>
      <c r="B2178" s="6" t="s">
        <v>5075</v>
      </c>
      <c r="C2178" s="6" t="s">
        <v>5035</v>
      </c>
      <c r="D2178" s="6" t="s">
        <v>5076</v>
      </c>
      <c r="E2178" s="6" t="s">
        <v>5066</v>
      </c>
      <c r="F2178" s="6" t="s">
        <v>16</v>
      </c>
      <c r="G2178" s="6" t="s">
        <v>1455</v>
      </c>
      <c r="H2178" s="6"/>
      <c r="I2178" s="6"/>
      <c r="J2178" s="6" t="s">
        <v>81</v>
      </c>
      <c r="K2178" s="6"/>
    </row>
    <row r="2179" customFormat="false" ht="12.8" hidden="false" customHeight="false" outlineLevel="0" collapsed="false">
      <c r="A2179" s="8" t="str">
        <f aca="false">HYPERLINK("https://www.fabsurplus.com/sdi_catalog/salesItemDetails.do?id=97175")</f>
        <v>https://www.fabsurplus.com/sdi_catalog/salesItemDetails.do?id=97175</v>
      </c>
      <c r="B2179" s="8" t="s">
        <v>5077</v>
      </c>
      <c r="C2179" s="8" t="s">
        <v>5078</v>
      </c>
      <c r="D2179" s="8" t="s">
        <v>5079</v>
      </c>
      <c r="E2179" s="8" t="s">
        <v>2980</v>
      </c>
      <c r="F2179" s="8" t="s">
        <v>16</v>
      </c>
      <c r="G2179" s="8" t="s">
        <v>2997</v>
      </c>
      <c r="H2179" s="8"/>
      <c r="I2179" s="9" t="n">
        <v>42887</v>
      </c>
      <c r="J2179" s="8"/>
      <c r="K2179" s="8"/>
    </row>
    <row r="2180" customFormat="false" ht="12.8" hidden="false" customHeight="false" outlineLevel="0" collapsed="false">
      <c r="A2180" s="6" t="str">
        <f aca="false">HYPERLINK("https://www.fabsurplus.com/sdi_catalog/salesItemDetails.do?id=97176")</f>
        <v>https://www.fabsurplus.com/sdi_catalog/salesItemDetails.do?id=97176</v>
      </c>
      <c r="B2180" s="6" t="s">
        <v>5080</v>
      </c>
      <c r="C2180" s="6" t="s">
        <v>5081</v>
      </c>
      <c r="D2180" s="6" t="s">
        <v>5082</v>
      </c>
      <c r="E2180" s="6" t="s">
        <v>2980</v>
      </c>
      <c r="F2180" s="6" t="s">
        <v>16</v>
      </c>
      <c r="G2180" s="6" t="s">
        <v>2997</v>
      </c>
      <c r="H2180" s="6"/>
      <c r="I2180" s="7" t="n">
        <v>40695</v>
      </c>
      <c r="J2180" s="6"/>
      <c r="K2180" s="6"/>
    </row>
    <row r="2181" customFormat="false" ht="12.8" hidden="false" customHeight="false" outlineLevel="0" collapsed="false">
      <c r="A2181" s="8" t="str">
        <f aca="false">HYPERLINK("https://www.fabsurplus.com/sdi_catalog/salesItemDetails.do?id=97177")</f>
        <v>https://www.fabsurplus.com/sdi_catalog/salesItemDetails.do?id=97177</v>
      </c>
      <c r="B2181" s="8" t="s">
        <v>5083</v>
      </c>
      <c r="C2181" s="8" t="s">
        <v>5084</v>
      </c>
      <c r="D2181" s="8" t="s">
        <v>5085</v>
      </c>
      <c r="E2181" s="8" t="s">
        <v>2980</v>
      </c>
      <c r="F2181" s="8" t="s">
        <v>16</v>
      </c>
      <c r="G2181" s="8" t="s">
        <v>2997</v>
      </c>
      <c r="H2181" s="8"/>
      <c r="I2181" s="9" t="n">
        <v>38869</v>
      </c>
      <c r="J2181" s="8"/>
      <c r="K2181" s="8"/>
    </row>
    <row r="2182" customFormat="false" ht="12.8" hidden="false" customHeight="false" outlineLevel="0" collapsed="false">
      <c r="A2182" s="8" t="str">
        <f aca="false">HYPERLINK("https://www.fabsurplus.com/sdi_catalog/salesItemDetails.do?id=100745")</f>
        <v>https://www.fabsurplus.com/sdi_catalog/salesItemDetails.do?id=100745</v>
      </c>
      <c r="B2182" s="8" t="s">
        <v>5086</v>
      </c>
      <c r="C2182" s="8" t="s">
        <v>5087</v>
      </c>
      <c r="D2182" s="8" t="s">
        <v>5088</v>
      </c>
      <c r="E2182" s="8" t="s">
        <v>2139</v>
      </c>
      <c r="F2182" s="8" t="s">
        <v>16</v>
      </c>
      <c r="G2182" s="8"/>
      <c r="H2182" s="8"/>
      <c r="I2182" s="9" t="n">
        <v>38504</v>
      </c>
      <c r="J2182" s="8" t="s">
        <v>19</v>
      </c>
      <c r="K2182" s="8"/>
    </row>
    <row r="2183" customFormat="false" ht="12.8" hidden="false" customHeight="false" outlineLevel="0" collapsed="false">
      <c r="A2183" s="6" t="str">
        <f aca="false">HYPERLINK("https://www.fabsurplus.com/sdi_catalog/salesItemDetails.do?id=98495")</f>
        <v>https://www.fabsurplus.com/sdi_catalog/salesItemDetails.do?id=98495</v>
      </c>
      <c r="B2183" s="6" t="s">
        <v>5089</v>
      </c>
      <c r="C2183" s="6" t="s">
        <v>5090</v>
      </c>
      <c r="D2183" s="6" t="s">
        <v>5091</v>
      </c>
      <c r="E2183" s="6" t="s">
        <v>5092</v>
      </c>
      <c r="F2183" s="6" t="s">
        <v>2598</v>
      </c>
      <c r="G2183" s="6" t="s">
        <v>5093</v>
      </c>
      <c r="H2183" s="6"/>
      <c r="I2183" s="6"/>
      <c r="J2183" s="6" t="s">
        <v>19</v>
      </c>
      <c r="K2183" s="6"/>
    </row>
    <row r="2184" customFormat="false" ht="12.8" hidden="false" customHeight="false" outlineLevel="0" collapsed="false">
      <c r="A2184" s="6" t="str">
        <f aca="false">HYPERLINK("https://www.fabsurplus.com/sdi_catalog/salesItemDetails.do?id=100746")</f>
        <v>https://www.fabsurplus.com/sdi_catalog/salesItemDetails.do?id=100746</v>
      </c>
      <c r="B2184" s="6" t="s">
        <v>5094</v>
      </c>
      <c r="C2184" s="6" t="s">
        <v>5087</v>
      </c>
      <c r="D2184" s="6" t="s">
        <v>5095</v>
      </c>
      <c r="E2184" s="6" t="s">
        <v>1665</v>
      </c>
      <c r="F2184" s="6" t="s">
        <v>16</v>
      </c>
      <c r="G2184" s="6"/>
      <c r="H2184" s="6"/>
      <c r="I2184" s="6"/>
      <c r="J2184" s="6" t="s">
        <v>19</v>
      </c>
      <c r="K2184" s="6"/>
    </row>
    <row r="2185" customFormat="false" ht="12.8" hidden="false" customHeight="false" outlineLevel="0" collapsed="false">
      <c r="A2185" s="8" t="str">
        <f aca="false">HYPERLINK("https://www.fabsurplus.com/sdi_catalog/salesItemDetails.do?id=98496")</f>
        <v>https://www.fabsurplus.com/sdi_catalog/salesItemDetails.do?id=98496</v>
      </c>
      <c r="B2185" s="8" t="s">
        <v>5096</v>
      </c>
      <c r="C2185" s="8" t="s">
        <v>5090</v>
      </c>
      <c r="D2185" s="8" t="s">
        <v>5097</v>
      </c>
      <c r="E2185" s="8" t="s">
        <v>5098</v>
      </c>
      <c r="F2185" s="8" t="s">
        <v>16</v>
      </c>
      <c r="G2185" s="8" t="s">
        <v>5093</v>
      </c>
      <c r="H2185" s="8"/>
      <c r="I2185" s="8"/>
      <c r="J2185" s="8" t="s">
        <v>19</v>
      </c>
      <c r="K2185" s="8"/>
    </row>
    <row r="2186" customFormat="false" ht="12.8" hidden="false" customHeight="false" outlineLevel="0" collapsed="false">
      <c r="A2186" s="6" t="str">
        <f aca="false">HYPERLINK("https://www.fabsurplus.com/sdi_catalog/salesItemDetails.do?id=97072")</f>
        <v>https://www.fabsurplus.com/sdi_catalog/salesItemDetails.do?id=97072</v>
      </c>
      <c r="B2186" s="6" t="s">
        <v>5099</v>
      </c>
      <c r="C2186" s="6" t="s">
        <v>5100</v>
      </c>
      <c r="D2186" s="6" t="s">
        <v>5101</v>
      </c>
      <c r="E2186" s="6" t="s">
        <v>5102</v>
      </c>
      <c r="F2186" s="6" t="s">
        <v>16</v>
      </c>
      <c r="G2186" s="6" t="s">
        <v>434</v>
      </c>
      <c r="H2186" s="6" t="s">
        <v>18</v>
      </c>
      <c r="I2186" s="7" t="n">
        <v>41061</v>
      </c>
      <c r="J2186" s="6" t="s">
        <v>19</v>
      </c>
      <c r="K2186" s="6"/>
    </row>
    <row r="2187" customFormat="false" ht="12.8" hidden="false" customHeight="false" outlineLevel="0" collapsed="false">
      <c r="A2187" s="8" t="str">
        <f aca="false">HYPERLINK("https://www.fabsurplus.com/sdi_catalog/salesItemDetails.do?id=97071")</f>
        <v>https://www.fabsurplus.com/sdi_catalog/salesItemDetails.do?id=97071</v>
      </c>
      <c r="B2187" s="8" t="s">
        <v>5103</v>
      </c>
      <c r="C2187" s="8" t="s">
        <v>5100</v>
      </c>
      <c r="D2187" s="8" t="s">
        <v>5104</v>
      </c>
      <c r="E2187" s="8" t="s">
        <v>5102</v>
      </c>
      <c r="F2187" s="8" t="s">
        <v>16</v>
      </c>
      <c r="G2187" s="8" t="s">
        <v>4245</v>
      </c>
      <c r="H2187" s="8" t="s">
        <v>33</v>
      </c>
      <c r="I2187" s="9" t="n">
        <v>41061</v>
      </c>
      <c r="J2187" s="8" t="s">
        <v>19</v>
      </c>
      <c r="K2187" s="8" t="s">
        <v>20</v>
      </c>
    </row>
    <row r="2188" customFormat="false" ht="12.8" hidden="false" customHeight="false" outlineLevel="0" collapsed="false">
      <c r="A2188" s="8" t="str">
        <f aca="false">HYPERLINK("https://www.fabsurplus.com/sdi_catalog/salesItemDetails.do?id=100358")</f>
        <v>https://www.fabsurplus.com/sdi_catalog/salesItemDetails.do?id=100358</v>
      </c>
      <c r="B2188" s="8" t="s">
        <v>5105</v>
      </c>
      <c r="C2188" s="8" t="s">
        <v>5106</v>
      </c>
      <c r="D2188" s="8" t="s">
        <v>5107</v>
      </c>
      <c r="E2188" s="8" t="s">
        <v>5108</v>
      </c>
      <c r="F2188" s="8" t="s">
        <v>611</v>
      </c>
      <c r="G2188" s="8"/>
      <c r="H2188" s="8" t="s">
        <v>18</v>
      </c>
      <c r="I2188" s="8"/>
      <c r="J2188" s="8" t="s">
        <v>19</v>
      </c>
      <c r="K2188" s="8"/>
    </row>
    <row r="2189" customFormat="false" ht="12.8" hidden="false" customHeight="false" outlineLevel="0" collapsed="false">
      <c r="A2189" s="6" t="str">
        <f aca="false">HYPERLINK("https://www.fabsurplus.com/sdi_catalog/salesItemDetails.do?id=100709")</f>
        <v>https://www.fabsurplus.com/sdi_catalog/salesItemDetails.do?id=100709</v>
      </c>
      <c r="B2189" s="6" t="s">
        <v>5109</v>
      </c>
      <c r="C2189" s="6" t="s">
        <v>5110</v>
      </c>
      <c r="D2189" s="6" t="s">
        <v>5111</v>
      </c>
      <c r="E2189" s="6" t="s">
        <v>5112</v>
      </c>
      <c r="F2189" s="6" t="s">
        <v>2540</v>
      </c>
      <c r="G2189" s="6"/>
      <c r="H2189" s="6"/>
      <c r="I2189" s="7" t="n">
        <v>39234</v>
      </c>
      <c r="J2189" s="6" t="s">
        <v>19</v>
      </c>
      <c r="K2189" s="6"/>
    </row>
    <row r="2190" customFormat="false" ht="12.8" hidden="false" customHeight="false" outlineLevel="0" collapsed="false">
      <c r="A2190" s="6" t="str">
        <f aca="false">HYPERLINK("https://www.fabsurplus.com/sdi_catalog/salesItemDetails.do?id=98010")</f>
        <v>https://www.fabsurplus.com/sdi_catalog/salesItemDetails.do?id=98010</v>
      </c>
      <c r="B2190" s="6" t="s">
        <v>5113</v>
      </c>
      <c r="C2190" s="6" t="s">
        <v>5114</v>
      </c>
      <c r="D2190" s="6" t="s">
        <v>3930</v>
      </c>
      <c r="E2190" s="6" t="s">
        <v>5115</v>
      </c>
      <c r="F2190" s="6" t="s">
        <v>16</v>
      </c>
      <c r="G2190" s="6" t="s">
        <v>32</v>
      </c>
      <c r="H2190" s="6"/>
      <c r="I2190" s="7" t="n">
        <v>40695</v>
      </c>
      <c r="J2190" s="6" t="s">
        <v>19</v>
      </c>
      <c r="K2190" s="6"/>
    </row>
    <row r="2191" customFormat="false" ht="12.8" hidden="false" customHeight="false" outlineLevel="0" collapsed="false">
      <c r="A2191" s="6" t="str">
        <f aca="false">HYPERLINK("https://www.fabsurplus.com/sdi_catalog/salesItemDetails.do?id=98933")</f>
        <v>https://www.fabsurplus.com/sdi_catalog/salesItemDetails.do?id=98933</v>
      </c>
      <c r="B2191" s="6" t="s">
        <v>5116</v>
      </c>
      <c r="C2191" s="6" t="s">
        <v>5117</v>
      </c>
      <c r="D2191" s="6" t="s">
        <v>5118</v>
      </c>
      <c r="E2191" s="6" t="s">
        <v>5119</v>
      </c>
      <c r="F2191" s="6" t="s">
        <v>16</v>
      </c>
      <c r="G2191" s="6"/>
      <c r="H2191" s="6"/>
      <c r="I2191" s="6"/>
      <c r="J2191" s="6" t="s">
        <v>19</v>
      </c>
      <c r="K2191" s="6"/>
    </row>
    <row r="2192" customFormat="false" ht="12.8" hidden="false" customHeight="false" outlineLevel="0" collapsed="false">
      <c r="A2192" s="6" t="str">
        <f aca="false">HYPERLINK("https://www.fabsurplus.com/sdi_catalog/salesItemDetails.do?id=98227")</f>
        <v>https://www.fabsurplus.com/sdi_catalog/salesItemDetails.do?id=98227</v>
      </c>
      <c r="B2192" s="6" t="s">
        <v>5120</v>
      </c>
      <c r="C2192" s="6" t="s">
        <v>5121</v>
      </c>
      <c r="D2192" s="6" t="s">
        <v>5122</v>
      </c>
      <c r="E2192" s="6" t="s">
        <v>676</v>
      </c>
      <c r="F2192" s="6" t="s">
        <v>781</v>
      </c>
      <c r="G2192" s="6"/>
      <c r="H2192" s="6"/>
      <c r="I2192" s="6"/>
      <c r="J2192" s="6" t="s">
        <v>81</v>
      </c>
      <c r="K2192" s="6"/>
    </row>
    <row r="2193" customFormat="false" ht="12.8" hidden="false" customHeight="false" outlineLevel="0" collapsed="false">
      <c r="A2193" s="6" t="str">
        <f aca="false">HYPERLINK("https://www.fabsurplus.com/sdi_catalog/salesItemDetails.do?id=97876")</f>
        <v>https://www.fabsurplus.com/sdi_catalog/salesItemDetails.do?id=97876</v>
      </c>
      <c r="B2193" s="6" t="s">
        <v>5123</v>
      </c>
      <c r="C2193" s="6" t="s">
        <v>5124</v>
      </c>
      <c r="D2193" s="6" t="s">
        <v>5125</v>
      </c>
      <c r="E2193" s="6" t="s">
        <v>643</v>
      </c>
      <c r="F2193" s="6" t="s">
        <v>16</v>
      </c>
      <c r="G2193" s="6"/>
      <c r="H2193" s="6"/>
      <c r="I2193" s="6"/>
      <c r="J2193" s="6" t="s">
        <v>19</v>
      </c>
      <c r="K2193" s="6"/>
    </row>
    <row r="2194" customFormat="false" ht="12.8" hidden="false" customHeight="false" outlineLevel="0" collapsed="false">
      <c r="A2194" s="8" t="str">
        <f aca="false">HYPERLINK("https://www.fabsurplus.com/sdi_catalog/salesItemDetails.do?id=97875")</f>
        <v>https://www.fabsurplus.com/sdi_catalog/salesItemDetails.do?id=97875</v>
      </c>
      <c r="B2194" s="8" t="s">
        <v>5126</v>
      </c>
      <c r="C2194" s="8" t="s">
        <v>5124</v>
      </c>
      <c r="D2194" s="8" t="s">
        <v>5125</v>
      </c>
      <c r="E2194" s="8" t="s">
        <v>643</v>
      </c>
      <c r="F2194" s="8" t="s">
        <v>16</v>
      </c>
      <c r="G2194" s="8" t="s">
        <v>310</v>
      </c>
      <c r="H2194" s="8"/>
      <c r="I2194" s="9" t="n">
        <v>38869</v>
      </c>
      <c r="J2194" s="8" t="s">
        <v>19</v>
      </c>
      <c r="K2194" s="8"/>
    </row>
    <row r="2195" customFormat="false" ht="12.8" hidden="false" customHeight="false" outlineLevel="0" collapsed="false">
      <c r="A2195" s="6" t="str">
        <f aca="false">HYPERLINK("https://www.fabsurplus.com/sdi_catalog/salesItemDetails.do?id=97874")</f>
        <v>https://www.fabsurplus.com/sdi_catalog/salesItemDetails.do?id=97874</v>
      </c>
      <c r="B2195" s="6" t="s">
        <v>5127</v>
      </c>
      <c r="C2195" s="6" t="s">
        <v>5124</v>
      </c>
      <c r="D2195" s="6" t="s">
        <v>5125</v>
      </c>
      <c r="E2195" s="6" t="s">
        <v>643</v>
      </c>
      <c r="F2195" s="6" t="s">
        <v>16</v>
      </c>
      <c r="G2195" s="6"/>
      <c r="H2195" s="6"/>
      <c r="I2195" s="6"/>
      <c r="J2195" s="6" t="s">
        <v>19</v>
      </c>
      <c r="K2195" s="6"/>
    </row>
    <row r="2196" customFormat="false" ht="12.8" hidden="false" customHeight="false" outlineLevel="0" collapsed="false">
      <c r="A2196" s="8" t="str">
        <f aca="false">HYPERLINK("https://www.fabsurplus.com/sdi_catalog/salesItemDetails.do?id=97873")</f>
        <v>https://www.fabsurplus.com/sdi_catalog/salesItemDetails.do?id=97873</v>
      </c>
      <c r="B2196" s="8" t="s">
        <v>5128</v>
      </c>
      <c r="C2196" s="8" t="s">
        <v>5124</v>
      </c>
      <c r="D2196" s="8" t="s">
        <v>5125</v>
      </c>
      <c r="E2196" s="8" t="s">
        <v>643</v>
      </c>
      <c r="F2196" s="8" t="s">
        <v>16</v>
      </c>
      <c r="G2196" s="8"/>
      <c r="H2196" s="8"/>
      <c r="I2196" s="8"/>
      <c r="J2196" s="8" t="s">
        <v>19</v>
      </c>
      <c r="K2196" s="8"/>
    </row>
    <row r="2197" customFormat="false" ht="12.8" hidden="false" customHeight="false" outlineLevel="0" collapsed="false">
      <c r="A2197" s="8" t="str">
        <f aca="false">HYPERLINK("https://www.fabsurplus.com/sdi_catalog/salesItemDetails.do?id=97967")</f>
        <v>https://www.fabsurplus.com/sdi_catalog/salesItemDetails.do?id=97967</v>
      </c>
      <c r="B2197" s="8" t="s">
        <v>5129</v>
      </c>
      <c r="C2197" s="8" t="s">
        <v>5124</v>
      </c>
      <c r="D2197" s="8" t="s">
        <v>5130</v>
      </c>
      <c r="E2197" s="8" t="s">
        <v>5131</v>
      </c>
      <c r="F2197" s="8" t="s">
        <v>16</v>
      </c>
      <c r="G2197" s="8"/>
      <c r="H2197" s="8"/>
      <c r="I2197" s="8"/>
      <c r="J2197" s="8" t="s">
        <v>81</v>
      </c>
      <c r="K2197" s="8"/>
    </row>
    <row r="2198" customFormat="false" ht="12.8" hidden="false" customHeight="false" outlineLevel="0" collapsed="false">
      <c r="A2198" s="8" t="str">
        <f aca="false">HYPERLINK("https://www.fabsurplus.com/sdi_catalog/salesItemDetails.do?id=100747")</f>
        <v>https://www.fabsurplus.com/sdi_catalog/salesItemDetails.do?id=100747</v>
      </c>
      <c r="B2198" s="8" t="s">
        <v>5132</v>
      </c>
      <c r="C2198" s="8" t="s">
        <v>5133</v>
      </c>
      <c r="D2198" s="8" t="s">
        <v>5134</v>
      </c>
      <c r="E2198" s="8" t="s">
        <v>4232</v>
      </c>
      <c r="F2198" s="8" t="s">
        <v>16</v>
      </c>
      <c r="G2198" s="8"/>
      <c r="H2198" s="8"/>
      <c r="I2198" s="8"/>
      <c r="J2198" s="8" t="s">
        <v>19</v>
      </c>
      <c r="K2198" s="8"/>
    </row>
    <row r="2199" customFormat="false" ht="12.8" hidden="false" customHeight="false" outlineLevel="0" collapsed="false">
      <c r="A2199" s="6" t="str">
        <f aca="false">HYPERLINK("https://www.fabsurplus.com/sdi_catalog/salesItemDetails.do?id=99431")</f>
        <v>https://www.fabsurplus.com/sdi_catalog/salesItemDetails.do?id=99431</v>
      </c>
      <c r="B2199" s="6" t="s">
        <v>5135</v>
      </c>
      <c r="C2199" s="6" t="s">
        <v>5136</v>
      </c>
      <c r="D2199" s="6" t="s">
        <v>5137</v>
      </c>
      <c r="E2199" s="6" t="s">
        <v>4227</v>
      </c>
      <c r="F2199" s="6" t="s">
        <v>962</v>
      </c>
      <c r="G2199" s="6" t="s">
        <v>47</v>
      </c>
      <c r="H2199" s="6"/>
      <c r="I2199" s="6"/>
      <c r="J2199" s="6" t="s">
        <v>19</v>
      </c>
      <c r="K2199" s="6"/>
    </row>
    <row r="2200" customFormat="false" ht="12.8" hidden="false" customHeight="false" outlineLevel="0" collapsed="false">
      <c r="A2200" s="6" t="str">
        <f aca="false">HYPERLINK("https://www.fabsurplus.com/sdi_catalog/salesItemDetails.do?id=100799")</f>
        <v>https://www.fabsurplus.com/sdi_catalog/salesItemDetails.do?id=100799</v>
      </c>
      <c r="B2200" s="6" t="s">
        <v>5138</v>
      </c>
      <c r="C2200" s="6" t="s">
        <v>459</v>
      </c>
      <c r="D2200" s="6" t="s">
        <v>5139</v>
      </c>
      <c r="E2200" s="6" t="s">
        <v>5140</v>
      </c>
      <c r="F2200" s="6" t="s">
        <v>16</v>
      </c>
      <c r="G2200" s="6" t="s">
        <v>310</v>
      </c>
      <c r="H2200" s="6"/>
      <c r="I2200" s="6"/>
      <c r="J2200" s="6" t="s">
        <v>81</v>
      </c>
      <c r="K2200" s="6"/>
    </row>
    <row r="2201" customFormat="false" ht="12.8" hidden="false" customHeight="false" outlineLevel="0" collapsed="false">
      <c r="A2201" s="8" t="str">
        <f aca="false">HYPERLINK("https://www.fabsurplus.com/sdi_catalog/salesItemDetails.do?id=100798")</f>
        <v>https://www.fabsurplus.com/sdi_catalog/salesItemDetails.do?id=100798</v>
      </c>
      <c r="B2201" s="8" t="s">
        <v>5141</v>
      </c>
      <c r="C2201" s="8" t="s">
        <v>459</v>
      </c>
      <c r="D2201" s="8" t="s">
        <v>5139</v>
      </c>
      <c r="E2201" s="8" t="s">
        <v>5142</v>
      </c>
      <c r="F2201" s="8" t="s">
        <v>16</v>
      </c>
      <c r="G2201" s="8" t="s">
        <v>310</v>
      </c>
      <c r="H2201" s="8"/>
      <c r="I2201" s="9" t="n">
        <v>39965</v>
      </c>
      <c r="J2201" s="8" t="s">
        <v>81</v>
      </c>
      <c r="K2201" s="8"/>
    </row>
    <row r="2202" customFormat="false" ht="12.8" hidden="false" customHeight="false" outlineLevel="0" collapsed="false">
      <c r="A2202" s="6" t="str">
        <f aca="false">HYPERLINK("https://www.fabsurplus.com/sdi_catalog/salesItemDetails.do?id=98172")</f>
        <v>https://www.fabsurplus.com/sdi_catalog/salesItemDetails.do?id=98172</v>
      </c>
      <c r="B2202" s="6" t="s">
        <v>5143</v>
      </c>
      <c r="C2202" s="6" t="s">
        <v>459</v>
      </c>
      <c r="D2202" s="6" t="s">
        <v>5144</v>
      </c>
      <c r="E2202" s="6" t="s">
        <v>1575</v>
      </c>
      <c r="F2202" s="6" t="s">
        <v>16</v>
      </c>
      <c r="G2202" s="6" t="s">
        <v>310</v>
      </c>
      <c r="H2202" s="6"/>
      <c r="I2202" s="7" t="n">
        <v>40330</v>
      </c>
      <c r="J2202" s="6" t="s">
        <v>19</v>
      </c>
      <c r="K2202" s="6"/>
    </row>
    <row r="2203" customFormat="false" ht="12.8" hidden="false" customHeight="false" outlineLevel="0" collapsed="false">
      <c r="A2203" s="8" t="str">
        <f aca="false">HYPERLINK("https://www.fabsurplus.com/sdi_catalog/salesItemDetails.do?id=100800")</f>
        <v>https://www.fabsurplus.com/sdi_catalog/salesItemDetails.do?id=100800</v>
      </c>
      <c r="B2203" s="8" t="s">
        <v>5145</v>
      </c>
      <c r="C2203" s="8" t="s">
        <v>459</v>
      </c>
      <c r="D2203" s="8" t="s">
        <v>5146</v>
      </c>
      <c r="E2203" s="8" t="s">
        <v>5147</v>
      </c>
      <c r="F2203" s="8" t="s">
        <v>16</v>
      </c>
      <c r="G2203" s="8" t="s">
        <v>310</v>
      </c>
      <c r="H2203" s="8"/>
      <c r="I2203" s="9" t="n">
        <v>38869</v>
      </c>
      <c r="J2203" s="8" t="s">
        <v>81</v>
      </c>
      <c r="K2203" s="8"/>
    </row>
    <row r="2204" customFormat="false" ht="12.8" hidden="false" customHeight="false" outlineLevel="0" collapsed="false">
      <c r="A2204" s="8" t="str">
        <f aca="false">HYPERLINK("https://www.fabsurplus.com/sdi_catalog/salesItemDetails.do?id=100804")</f>
        <v>https://www.fabsurplus.com/sdi_catalog/salesItemDetails.do?id=100804</v>
      </c>
      <c r="B2204" s="8" t="s">
        <v>5148</v>
      </c>
      <c r="C2204" s="8" t="s">
        <v>459</v>
      </c>
      <c r="D2204" s="8" t="s">
        <v>610</v>
      </c>
      <c r="E2204" s="8" t="s">
        <v>461</v>
      </c>
      <c r="F2204" s="8" t="s">
        <v>16</v>
      </c>
      <c r="G2204" s="8" t="s">
        <v>372</v>
      </c>
      <c r="H2204" s="8"/>
      <c r="I2204" s="8"/>
      <c r="J2204" s="8" t="s">
        <v>81</v>
      </c>
      <c r="K2204" s="8"/>
    </row>
    <row r="2205" customFormat="false" ht="12.8" hidden="false" customHeight="false" outlineLevel="0" collapsed="false">
      <c r="A2205" s="6" t="str">
        <f aca="false">HYPERLINK("https://www.fabsurplus.com/sdi_catalog/salesItemDetails.do?id=100803")</f>
        <v>https://www.fabsurplus.com/sdi_catalog/salesItemDetails.do?id=100803</v>
      </c>
      <c r="B2205" s="6" t="s">
        <v>5149</v>
      </c>
      <c r="C2205" s="6" t="s">
        <v>459</v>
      </c>
      <c r="D2205" s="6" t="s">
        <v>610</v>
      </c>
      <c r="E2205" s="6" t="s">
        <v>461</v>
      </c>
      <c r="F2205" s="6" t="s">
        <v>16</v>
      </c>
      <c r="G2205" s="6" t="s">
        <v>372</v>
      </c>
      <c r="H2205" s="6"/>
      <c r="I2205" s="6"/>
      <c r="J2205" s="6" t="s">
        <v>81</v>
      </c>
      <c r="K2205" s="6"/>
    </row>
    <row r="2206" customFormat="false" ht="12.8" hidden="false" customHeight="false" outlineLevel="0" collapsed="false">
      <c r="A2206" s="8" t="str">
        <f aca="false">HYPERLINK("https://www.fabsurplus.com/sdi_catalog/salesItemDetails.do?id=100802")</f>
        <v>https://www.fabsurplus.com/sdi_catalog/salesItemDetails.do?id=100802</v>
      </c>
      <c r="B2206" s="8" t="s">
        <v>5150</v>
      </c>
      <c r="C2206" s="8" t="s">
        <v>459</v>
      </c>
      <c r="D2206" s="8" t="s">
        <v>610</v>
      </c>
      <c r="E2206" s="8" t="s">
        <v>461</v>
      </c>
      <c r="F2206" s="8" t="s">
        <v>16</v>
      </c>
      <c r="G2206" s="8" t="s">
        <v>372</v>
      </c>
      <c r="H2206" s="8"/>
      <c r="I2206" s="8"/>
      <c r="J2206" s="8" t="s">
        <v>81</v>
      </c>
      <c r="K2206" s="8"/>
    </row>
    <row r="2207" customFormat="false" ht="12.8" hidden="false" customHeight="false" outlineLevel="0" collapsed="false">
      <c r="A2207" s="6" t="str">
        <f aca="false">HYPERLINK("https://www.fabsurplus.com/sdi_catalog/salesItemDetails.do?id=100801")</f>
        <v>https://www.fabsurplus.com/sdi_catalog/salesItemDetails.do?id=100801</v>
      </c>
      <c r="B2207" s="6" t="s">
        <v>5151</v>
      </c>
      <c r="C2207" s="6" t="s">
        <v>459</v>
      </c>
      <c r="D2207" s="6" t="s">
        <v>610</v>
      </c>
      <c r="E2207" s="6" t="s">
        <v>461</v>
      </c>
      <c r="F2207" s="6" t="s">
        <v>16</v>
      </c>
      <c r="G2207" s="6" t="s">
        <v>372</v>
      </c>
      <c r="H2207" s="6"/>
      <c r="I2207" s="6"/>
      <c r="J2207" s="6" t="s">
        <v>81</v>
      </c>
      <c r="K2207" s="6"/>
    </row>
    <row r="2208" customFormat="false" ht="12.8" hidden="false" customHeight="false" outlineLevel="0" collapsed="false">
      <c r="A2208" s="6" t="str">
        <f aca="false">HYPERLINK("https://www.fabsurplus.com/sdi_catalog/salesItemDetails.do?id=100805")</f>
        <v>https://www.fabsurplus.com/sdi_catalog/salesItemDetails.do?id=100805</v>
      </c>
      <c r="B2208" s="6" t="s">
        <v>5152</v>
      </c>
      <c r="C2208" s="6" t="s">
        <v>459</v>
      </c>
      <c r="D2208" s="6" t="s">
        <v>5153</v>
      </c>
      <c r="E2208" s="6" t="s">
        <v>5154</v>
      </c>
      <c r="F2208" s="6" t="s">
        <v>16</v>
      </c>
      <c r="G2208" s="6" t="s">
        <v>32</v>
      </c>
      <c r="H2208" s="6"/>
      <c r="I2208" s="7" t="n">
        <v>40695</v>
      </c>
      <c r="J2208" s="6" t="s">
        <v>81</v>
      </c>
      <c r="K2208" s="6"/>
    </row>
    <row r="2209" customFormat="false" ht="12.8" hidden="false" customHeight="false" outlineLevel="0" collapsed="false">
      <c r="A2209" s="8" t="str">
        <f aca="false">HYPERLINK("https://www.fabsurplus.com/sdi_catalog/salesItemDetails.do?id=100806")</f>
        <v>https://www.fabsurplus.com/sdi_catalog/salesItemDetails.do?id=100806</v>
      </c>
      <c r="B2209" s="8" t="s">
        <v>5155</v>
      </c>
      <c r="C2209" s="8" t="s">
        <v>459</v>
      </c>
      <c r="D2209" s="8" t="s">
        <v>5156</v>
      </c>
      <c r="E2209" s="8" t="s">
        <v>5147</v>
      </c>
      <c r="F2209" s="8" t="s">
        <v>16</v>
      </c>
      <c r="G2209" s="8" t="s">
        <v>372</v>
      </c>
      <c r="H2209" s="8"/>
      <c r="I2209" s="8"/>
      <c r="J2209" s="8" t="s">
        <v>81</v>
      </c>
      <c r="K2209" s="8"/>
    </row>
    <row r="2210" customFormat="false" ht="12.8" hidden="false" customHeight="false" outlineLevel="0" collapsed="false">
      <c r="A2210" s="8" t="str">
        <f aca="false">HYPERLINK("https://www.fabsurplus.com/sdi_catalog/salesItemDetails.do?id=98011")</f>
        <v>https://www.fabsurplus.com/sdi_catalog/salesItemDetails.do?id=98011</v>
      </c>
      <c r="B2210" s="8" t="s">
        <v>5157</v>
      </c>
      <c r="C2210" s="8" t="s">
        <v>459</v>
      </c>
      <c r="D2210" s="8" t="s">
        <v>5158</v>
      </c>
      <c r="E2210" s="8" t="s">
        <v>2515</v>
      </c>
      <c r="F2210" s="8" t="s">
        <v>16</v>
      </c>
      <c r="G2210" s="8" t="s">
        <v>32</v>
      </c>
      <c r="H2210" s="8"/>
      <c r="I2210" s="8"/>
      <c r="J2210" s="8" t="s">
        <v>19</v>
      </c>
      <c r="K2210" s="8"/>
    </row>
    <row r="2211" customFormat="false" ht="12.8" hidden="false" customHeight="false" outlineLevel="0" collapsed="false">
      <c r="A2211" s="6" t="str">
        <f aca="false">HYPERLINK("https://www.fabsurplus.com/sdi_catalog/salesItemDetails.do?id=100807")</f>
        <v>https://www.fabsurplus.com/sdi_catalog/salesItemDetails.do?id=100807</v>
      </c>
      <c r="B2211" s="6" t="s">
        <v>5159</v>
      </c>
      <c r="C2211" s="6" t="s">
        <v>459</v>
      </c>
      <c r="D2211" s="6" t="s">
        <v>5160</v>
      </c>
      <c r="E2211" s="6" t="s">
        <v>5161</v>
      </c>
      <c r="F2211" s="6" t="s">
        <v>16</v>
      </c>
      <c r="G2211" s="6" t="s">
        <v>310</v>
      </c>
      <c r="H2211" s="6"/>
      <c r="I2211" s="7" t="n">
        <v>40330</v>
      </c>
      <c r="J2211" s="6" t="s">
        <v>81</v>
      </c>
      <c r="K2211" s="6"/>
    </row>
    <row r="2212" customFormat="false" ht="12.8" hidden="false" customHeight="false" outlineLevel="0" collapsed="false">
      <c r="A2212" s="6" t="str">
        <f aca="false">HYPERLINK("https://www.fabsurplus.com/sdi_catalog/salesItemDetails.do?id=100809")</f>
        <v>https://www.fabsurplus.com/sdi_catalog/salesItemDetails.do?id=100809</v>
      </c>
      <c r="B2212" s="6" t="s">
        <v>5162</v>
      </c>
      <c r="C2212" s="6" t="s">
        <v>459</v>
      </c>
      <c r="D2212" s="6" t="s">
        <v>5163</v>
      </c>
      <c r="E2212" s="6" t="s">
        <v>5161</v>
      </c>
      <c r="F2212" s="6" t="s">
        <v>16</v>
      </c>
      <c r="G2212" s="6" t="s">
        <v>32</v>
      </c>
      <c r="H2212" s="6"/>
      <c r="I2212" s="7" t="n">
        <v>35217</v>
      </c>
      <c r="J2212" s="6" t="s">
        <v>81</v>
      </c>
      <c r="K2212" s="6"/>
    </row>
    <row r="2213" customFormat="false" ht="12.8" hidden="false" customHeight="false" outlineLevel="0" collapsed="false">
      <c r="A2213" s="8" t="str">
        <f aca="false">HYPERLINK("https://www.fabsurplus.com/sdi_catalog/salesItemDetails.do?id=100808")</f>
        <v>https://www.fabsurplus.com/sdi_catalog/salesItemDetails.do?id=100808</v>
      </c>
      <c r="B2213" s="8" t="s">
        <v>5164</v>
      </c>
      <c r="C2213" s="8" t="s">
        <v>459</v>
      </c>
      <c r="D2213" s="8" t="s">
        <v>5163</v>
      </c>
      <c r="E2213" s="8" t="s">
        <v>5161</v>
      </c>
      <c r="F2213" s="8" t="s">
        <v>16</v>
      </c>
      <c r="G2213" s="8" t="s">
        <v>32</v>
      </c>
      <c r="H2213" s="8"/>
      <c r="I2213" s="8"/>
      <c r="J2213" s="8" t="s">
        <v>81</v>
      </c>
      <c r="K2213" s="8"/>
    </row>
    <row r="2214" customFormat="false" ht="12.8" hidden="false" customHeight="false" outlineLevel="0" collapsed="false">
      <c r="A2214" s="8" t="str">
        <f aca="false">HYPERLINK("https://www.fabsurplus.com/sdi_catalog/salesItemDetails.do?id=98862")</f>
        <v>https://www.fabsurplus.com/sdi_catalog/salesItemDetails.do?id=98862</v>
      </c>
      <c r="B2214" s="8" t="s">
        <v>5165</v>
      </c>
      <c r="C2214" s="8" t="s">
        <v>5166</v>
      </c>
      <c r="D2214" s="8" t="s">
        <v>5167</v>
      </c>
      <c r="E2214" s="8" t="s">
        <v>5168</v>
      </c>
      <c r="F2214" s="8" t="s">
        <v>16</v>
      </c>
      <c r="G2214" s="8" t="s">
        <v>372</v>
      </c>
      <c r="H2214" s="8"/>
      <c r="I2214" s="8"/>
      <c r="J2214" s="8" t="s">
        <v>81</v>
      </c>
      <c r="K2214" s="8"/>
    </row>
    <row r="2215" customFormat="false" ht="12.8" hidden="false" customHeight="false" outlineLevel="0" collapsed="false">
      <c r="A2215" s="8" t="str">
        <f aca="false">HYPERLINK("https://www.fabsurplus.com/sdi_catalog/salesItemDetails.do?id=99968")</f>
        <v>https://www.fabsurplus.com/sdi_catalog/salesItemDetails.do?id=99968</v>
      </c>
      <c r="B2215" s="8" t="s">
        <v>5169</v>
      </c>
      <c r="C2215" s="8" t="s">
        <v>5170</v>
      </c>
      <c r="D2215" s="8" t="s">
        <v>5171</v>
      </c>
      <c r="E2215" s="8" t="s">
        <v>5172</v>
      </c>
      <c r="F2215" s="8" t="s">
        <v>16</v>
      </c>
      <c r="G2215" s="8" t="s">
        <v>32</v>
      </c>
      <c r="H2215" s="8" t="s">
        <v>18</v>
      </c>
      <c r="I2215" s="8"/>
      <c r="J2215" s="8" t="s">
        <v>19</v>
      </c>
      <c r="K2215" s="8" t="s">
        <v>20</v>
      </c>
    </row>
    <row r="2216" customFormat="false" ht="12.8" hidden="false" customHeight="false" outlineLevel="0" collapsed="false">
      <c r="A2216" s="8" t="str">
        <f aca="false">HYPERLINK("https://www.fabsurplus.com/sdi_catalog/salesItemDetails.do?id=100238")</f>
        <v>https://www.fabsurplus.com/sdi_catalog/salesItemDetails.do?id=100238</v>
      </c>
      <c r="B2216" s="8" t="s">
        <v>5173</v>
      </c>
      <c r="C2216" s="8" t="s">
        <v>5170</v>
      </c>
      <c r="D2216" s="8" t="s">
        <v>2027</v>
      </c>
      <c r="E2216" s="8" t="s">
        <v>2028</v>
      </c>
      <c r="F2216" s="8" t="s">
        <v>16</v>
      </c>
      <c r="G2216" s="8" t="s">
        <v>686</v>
      </c>
      <c r="H2216" s="8" t="s">
        <v>18</v>
      </c>
      <c r="I2216" s="8"/>
      <c r="J2216" s="8" t="s">
        <v>19</v>
      </c>
      <c r="K2216" s="8" t="s">
        <v>20</v>
      </c>
    </row>
    <row r="2217" customFormat="false" ht="12.8" hidden="false" customHeight="false" outlineLevel="0" collapsed="false">
      <c r="A2217" s="6" t="str">
        <f aca="false">HYPERLINK("https://www.fabsurplus.com/sdi_catalog/salesItemDetails.do?id=100237")</f>
        <v>https://www.fabsurplus.com/sdi_catalog/salesItemDetails.do?id=100237</v>
      </c>
      <c r="B2217" s="6" t="s">
        <v>5174</v>
      </c>
      <c r="C2217" s="6" t="s">
        <v>5170</v>
      </c>
      <c r="D2217" s="6" t="s">
        <v>2027</v>
      </c>
      <c r="E2217" s="6" t="s">
        <v>2028</v>
      </c>
      <c r="F2217" s="6" t="s">
        <v>16</v>
      </c>
      <c r="G2217" s="6" t="s">
        <v>686</v>
      </c>
      <c r="H2217" s="6" t="s">
        <v>18</v>
      </c>
      <c r="I2217" s="6"/>
      <c r="J2217" s="6" t="s">
        <v>19</v>
      </c>
      <c r="K2217" s="6" t="s">
        <v>20</v>
      </c>
    </row>
    <row r="2218" customFormat="false" ht="12.8" hidden="false" customHeight="false" outlineLevel="0" collapsed="false">
      <c r="A2218" s="8" t="str">
        <f aca="false">HYPERLINK("https://www.fabsurplus.com/sdi_catalog/salesItemDetails.do?id=97736")</f>
        <v>https://www.fabsurplus.com/sdi_catalog/salesItemDetails.do?id=97736</v>
      </c>
      <c r="B2218" s="8" t="s">
        <v>5175</v>
      </c>
      <c r="C2218" s="8" t="s">
        <v>5176</v>
      </c>
      <c r="D2218" s="8" t="s">
        <v>5177</v>
      </c>
      <c r="E2218" s="8" t="s">
        <v>2515</v>
      </c>
      <c r="F2218" s="8" t="s">
        <v>16</v>
      </c>
      <c r="G2218" s="8" t="s">
        <v>310</v>
      </c>
      <c r="H2218" s="8"/>
      <c r="I2218" s="8"/>
      <c r="J2218" s="8" t="s">
        <v>19</v>
      </c>
      <c r="K2218" s="8"/>
    </row>
    <row r="2219" customFormat="false" ht="12.8" hidden="false" customHeight="false" outlineLevel="0" collapsed="false">
      <c r="A2219" s="6" t="str">
        <f aca="false">HYPERLINK("https://www.fabsurplus.com/sdi_catalog/salesItemDetails.do?id=97735")</f>
        <v>https://www.fabsurplus.com/sdi_catalog/salesItemDetails.do?id=97735</v>
      </c>
      <c r="B2219" s="6" t="s">
        <v>5178</v>
      </c>
      <c r="C2219" s="6" t="s">
        <v>5176</v>
      </c>
      <c r="D2219" s="6" t="s">
        <v>5177</v>
      </c>
      <c r="E2219" s="6" t="s">
        <v>2515</v>
      </c>
      <c r="F2219" s="6" t="s">
        <v>16</v>
      </c>
      <c r="G2219" s="6" t="s">
        <v>310</v>
      </c>
      <c r="H2219" s="6"/>
      <c r="I2219" s="6"/>
      <c r="J2219" s="6" t="s">
        <v>19</v>
      </c>
      <c r="K2219" s="6"/>
    </row>
    <row r="2220" customFormat="false" ht="12.8" hidden="false" customHeight="false" outlineLevel="0" collapsed="false">
      <c r="A2220" s="6" t="str">
        <f aca="false">HYPERLINK("https://www.fabsurplus.com/sdi_catalog/salesItemDetails.do?id=100004")</f>
        <v>https://www.fabsurplus.com/sdi_catalog/salesItemDetails.do?id=100004</v>
      </c>
      <c r="B2220" s="6" t="s">
        <v>5179</v>
      </c>
      <c r="C2220" s="6" t="s">
        <v>5180</v>
      </c>
      <c r="D2220" s="6" t="s">
        <v>5181</v>
      </c>
      <c r="E2220" s="6" t="s">
        <v>5182</v>
      </c>
      <c r="F2220" s="6" t="s">
        <v>16</v>
      </c>
      <c r="G2220" s="6" t="s">
        <v>697</v>
      </c>
      <c r="H2220" s="6"/>
      <c r="I2220" s="7" t="n">
        <v>35217</v>
      </c>
      <c r="J2220" s="6" t="s">
        <v>19</v>
      </c>
      <c r="K2220" s="6"/>
    </row>
    <row r="2221" customFormat="false" ht="12.8" hidden="false" customHeight="false" outlineLevel="0" collapsed="false">
      <c r="A2221" s="8" t="str">
        <f aca="false">HYPERLINK("https://www.fabsurplus.com/sdi_catalog/salesItemDetails.do?id=100810")</f>
        <v>https://www.fabsurplus.com/sdi_catalog/salesItemDetails.do?id=100810</v>
      </c>
      <c r="B2221" s="8" t="s">
        <v>5183</v>
      </c>
      <c r="C2221" s="8" t="s">
        <v>5180</v>
      </c>
      <c r="D2221" s="8" t="s">
        <v>5181</v>
      </c>
      <c r="E2221" s="8" t="s">
        <v>5184</v>
      </c>
      <c r="F2221" s="8" t="s">
        <v>16</v>
      </c>
      <c r="G2221" s="8" t="s">
        <v>32</v>
      </c>
      <c r="H2221" s="8"/>
      <c r="I2221" s="9" t="n">
        <v>36312</v>
      </c>
      <c r="J2221" s="8" t="s">
        <v>81</v>
      </c>
      <c r="K2221" s="8"/>
    </row>
    <row r="2222" customFormat="false" ht="12.8" hidden="false" customHeight="false" outlineLevel="0" collapsed="false">
      <c r="A2222" s="6" t="str">
        <f aca="false">HYPERLINK("https://www.fabsurplus.com/sdi_catalog/salesItemDetails.do?id=100811")</f>
        <v>https://www.fabsurplus.com/sdi_catalog/salesItemDetails.do?id=100811</v>
      </c>
      <c r="B2222" s="6" t="s">
        <v>5185</v>
      </c>
      <c r="C2222" s="6" t="s">
        <v>5180</v>
      </c>
      <c r="D2222" s="6" t="s">
        <v>5186</v>
      </c>
      <c r="E2222" s="6" t="s">
        <v>5187</v>
      </c>
      <c r="F2222" s="6" t="s">
        <v>16</v>
      </c>
      <c r="G2222" s="6" t="s">
        <v>310</v>
      </c>
      <c r="H2222" s="6"/>
      <c r="I2222" s="7" t="n">
        <v>38139</v>
      </c>
      <c r="J2222" s="6" t="s">
        <v>81</v>
      </c>
      <c r="K2222" s="6"/>
    </row>
    <row r="2223" customFormat="false" ht="12.8" hidden="false" customHeight="false" outlineLevel="0" collapsed="false">
      <c r="A2223" s="8" t="str">
        <f aca="false">HYPERLINK("https://www.fabsurplus.com/sdi_catalog/salesItemDetails.do?id=100005")</f>
        <v>https://www.fabsurplus.com/sdi_catalog/salesItemDetails.do?id=100005</v>
      </c>
      <c r="B2223" s="8" t="s">
        <v>5188</v>
      </c>
      <c r="C2223" s="8" t="s">
        <v>5180</v>
      </c>
      <c r="D2223" s="8" t="s">
        <v>5189</v>
      </c>
      <c r="E2223" s="8" t="s">
        <v>5182</v>
      </c>
      <c r="F2223" s="8" t="s">
        <v>16</v>
      </c>
      <c r="G2223" s="8" t="s">
        <v>686</v>
      </c>
      <c r="H2223" s="8"/>
      <c r="I2223" s="8"/>
      <c r="J2223" s="8" t="s">
        <v>19</v>
      </c>
      <c r="K2223" s="8"/>
    </row>
    <row r="2224" customFormat="false" ht="12.8" hidden="false" customHeight="false" outlineLevel="0" collapsed="false">
      <c r="A2224" s="8" t="str">
        <f aca="false">HYPERLINK("https://www.fabsurplus.com/sdi_catalog/salesItemDetails.do?id=100812")</f>
        <v>https://www.fabsurplus.com/sdi_catalog/salesItemDetails.do?id=100812</v>
      </c>
      <c r="B2224" s="8" t="s">
        <v>5190</v>
      </c>
      <c r="C2224" s="8" t="s">
        <v>5180</v>
      </c>
      <c r="D2224" s="8" t="s">
        <v>5189</v>
      </c>
      <c r="E2224" s="8" t="s">
        <v>5184</v>
      </c>
      <c r="F2224" s="8" t="s">
        <v>16</v>
      </c>
      <c r="G2224" s="8" t="s">
        <v>310</v>
      </c>
      <c r="H2224" s="8"/>
      <c r="I2224" s="8"/>
      <c r="J2224" s="8" t="s">
        <v>81</v>
      </c>
      <c r="K2224" s="8"/>
    </row>
    <row r="2225" customFormat="false" ht="12.8" hidden="false" customHeight="false" outlineLevel="0" collapsed="false">
      <c r="A2225" s="6" t="str">
        <f aca="false">HYPERLINK("https://www.fabsurplus.com/sdi_catalog/salesItemDetails.do?id=100813")</f>
        <v>https://www.fabsurplus.com/sdi_catalog/salesItemDetails.do?id=100813</v>
      </c>
      <c r="B2225" s="6" t="s">
        <v>5191</v>
      </c>
      <c r="C2225" s="6" t="s">
        <v>5180</v>
      </c>
      <c r="D2225" s="6" t="s">
        <v>5192</v>
      </c>
      <c r="E2225" s="6" t="s">
        <v>5184</v>
      </c>
      <c r="F2225" s="6" t="s">
        <v>16</v>
      </c>
      <c r="G2225" s="6" t="s">
        <v>310</v>
      </c>
      <c r="H2225" s="6"/>
      <c r="I2225" s="7" t="n">
        <v>38869</v>
      </c>
      <c r="J2225" s="6" t="s">
        <v>81</v>
      </c>
      <c r="K2225" s="6"/>
    </row>
    <row r="2226" customFormat="false" ht="12.8" hidden="false" customHeight="false" outlineLevel="0" collapsed="false">
      <c r="A2226" s="6" t="str">
        <f aca="false">HYPERLINK("https://www.fabsurplus.com/sdi_catalog/salesItemDetails.do?id=100819")</f>
        <v>https://www.fabsurplus.com/sdi_catalog/salesItemDetails.do?id=100819</v>
      </c>
      <c r="B2226" s="6" t="s">
        <v>5193</v>
      </c>
      <c r="C2226" s="6" t="s">
        <v>5180</v>
      </c>
      <c r="D2226" s="6" t="s">
        <v>5194</v>
      </c>
      <c r="E2226" s="6" t="s">
        <v>5187</v>
      </c>
      <c r="F2226" s="6" t="s">
        <v>16</v>
      </c>
      <c r="G2226" s="6" t="s">
        <v>310</v>
      </c>
      <c r="H2226" s="6"/>
      <c r="I2226" s="7" t="n">
        <v>38869</v>
      </c>
      <c r="J2226" s="6" t="s">
        <v>81</v>
      </c>
      <c r="K2226" s="6"/>
    </row>
    <row r="2227" customFormat="false" ht="12.8" hidden="false" customHeight="false" outlineLevel="0" collapsed="false">
      <c r="A2227" s="8" t="str">
        <f aca="false">HYPERLINK("https://www.fabsurplus.com/sdi_catalog/salesItemDetails.do?id=100818")</f>
        <v>https://www.fabsurplus.com/sdi_catalog/salesItemDetails.do?id=100818</v>
      </c>
      <c r="B2227" s="8" t="s">
        <v>5195</v>
      </c>
      <c r="C2227" s="8" t="s">
        <v>5180</v>
      </c>
      <c r="D2227" s="8" t="s">
        <v>5194</v>
      </c>
      <c r="E2227" s="8" t="s">
        <v>5187</v>
      </c>
      <c r="F2227" s="8" t="s">
        <v>16</v>
      </c>
      <c r="G2227" s="8" t="s">
        <v>310</v>
      </c>
      <c r="H2227" s="8"/>
      <c r="I2227" s="9" t="n">
        <v>38504</v>
      </c>
      <c r="J2227" s="8" t="s">
        <v>81</v>
      </c>
      <c r="K2227" s="8"/>
    </row>
    <row r="2228" customFormat="false" ht="12.8" hidden="false" customHeight="false" outlineLevel="0" collapsed="false">
      <c r="A2228" s="6" t="str">
        <f aca="false">HYPERLINK("https://www.fabsurplus.com/sdi_catalog/salesItemDetails.do?id=100817")</f>
        <v>https://www.fabsurplus.com/sdi_catalog/salesItemDetails.do?id=100817</v>
      </c>
      <c r="B2228" s="6" t="s">
        <v>5196</v>
      </c>
      <c r="C2228" s="6" t="s">
        <v>5180</v>
      </c>
      <c r="D2228" s="6" t="s">
        <v>5194</v>
      </c>
      <c r="E2228" s="6" t="s">
        <v>5187</v>
      </c>
      <c r="F2228" s="6" t="s">
        <v>16</v>
      </c>
      <c r="G2228" s="6" t="s">
        <v>310</v>
      </c>
      <c r="H2228" s="6"/>
      <c r="I2228" s="7" t="n">
        <v>37773</v>
      </c>
      <c r="J2228" s="6" t="s">
        <v>81</v>
      </c>
      <c r="K2228" s="6"/>
    </row>
    <row r="2229" customFormat="false" ht="12.8" hidden="false" customHeight="false" outlineLevel="0" collapsed="false">
      <c r="A2229" s="8" t="str">
        <f aca="false">HYPERLINK("https://www.fabsurplus.com/sdi_catalog/salesItemDetails.do?id=100816")</f>
        <v>https://www.fabsurplus.com/sdi_catalog/salesItemDetails.do?id=100816</v>
      </c>
      <c r="B2229" s="8" t="s">
        <v>5197</v>
      </c>
      <c r="C2229" s="8" t="s">
        <v>5180</v>
      </c>
      <c r="D2229" s="8" t="s">
        <v>5194</v>
      </c>
      <c r="E2229" s="8" t="s">
        <v>5187</v>
      </c>
      <c r="F2229" s="8" t="s">
        <v>16</v>
      </c>
      <c r="G2229" s="8" t="s">
        <v>310</v>
      </c>
      <c r="H2229" s="8"/>
      <c r="I2229" s="9" t="n">
        <v>37773</v>
      </c>
      <c r="J2229" s="8" t="s">
        <v>81</v>
      </c>
      <c r="K2229" s="8"/>
    </row>
    <row r="2230" customFormat="false" ht="12.8" hidden="false" customHeight="false" outlineLevel="0" collapsed="false">
      <c r="A2230" s="6" t="str">
        <f aca="false">HYPERLINK("https://www.fabsurplus.com/sdi_catalog/salesItemDetails.do?id=100815")</f>
        <v>https://www.fabsurplus.com/sdi_catalog/salesItemDetails.do?id=100815</v>
      </c>
      <c r="B2230" s="6" t="s">
        <v>5198</v>
      </c>
      <c r="C2230" s="6" t="s">
        <v>5180</v>
      </c>
      <c r="D2230" s="6" t="s">
        <v>5194</v>
      </c>
      <c r="E2230" s="6" t="s">
        <v>5187</v>
      </c>
      <c r="F2230" s="6" t="s">
        <v>16</v>
      </c>
      <c r="G2230" s="6" t="s">
        <v>310</v>
      </c>
      <c r="H2230" s="6"/>
      <c r="I2230" s="6"/>
      <c r="J2230" s="6" t="s">
        <v>81</v>
      </c>
      <c r="K2230" s="6"/>
    </row>
    <row r="2231" customFormat="false" ht="12.8" hidden="false" customHeight="false" outlineLevel="0" collapsed="false">
      <c r="A2231" s="8" t="str">
        <f aca="false">HYPERLINK("https://www.fabsurplus.com/sdi_catalog/salesItemDetails.do?id=100814")</f>
        <v>https://www.fabsurplus.com/sdi_catalog/salesItemDetails.do?id=100814</v>
      </c>
      <c r="B2231" s="8" t="s">
        <v>5199</v>
      </c>
      <c r="C2231" s="8" t="s">
        <v>5180</v>
      </c>
      <c r="D2231" s="8" t="s">
        <v>5194</v>
      </c>
      <c r="E2231" s="8" t="s">
        <v>5187</v>
      </c>
      <c r="F2231" s="8" t="s">
        <v>16</v>
      </c>
      <c r="G2231" s="8" t="s">
        <v>310</v>
      </c>
      <c r="H2231" s="8"/>
      <c r="I2231" s="9" t="n">
        <v>37408</v>
      </c>
      <c r="J2231" s="8" t="s">
        <v>81</v>
      </c>
      <c r="K2231" s="8"/>
    </row>
    <row r="2232" customFormat="false" ht="12.8" hidden="false" customHeight="false" outlineLevel="0" collapsed="false">
      <c r="A2232" s="8" t="str">
        <f aca="false">HYPERLINK("https://www.fabsurplus.com/sdi_catalog/salesItemDetails.do?id=100820")</f>
        <v>https://www.fabsurplus.com/sdi_catalog/salesItemDetails.do?id=100820</v>
      </c>
      <c r="B2232" s="8" t="s">
        <v>5200</v>
      </c>
      <c r="C2232" s="8" t="s">
        <v>5180</v>
      </c>
      <c r="D2232" s="8" t="s">
        <v>5201</v>
      </c>
      <c r="E2232" s="8" t="s">
        <v>5202</v>
      </c>
      <c r="F2232" s="8" t="s">
        <v>16</v>
      </c>
      <c r="G2232" s="8" t="s">
        <v>310</v>
      </c>
      <c r="H2232" s="8"/>
      <c r="I2232" s="9" t="n">
        <v>37773</v>
      </c>
      <c r="J2232" s="8" t="s">
        <v>81</v>
      </c>
      <c r="K2232" s="8"/>
    </row>
    <row r="2233" customFormat="false" ht="12.8" hidden="false" customHeight="false" outlineLevel="0" collapsed="false">
      <c r="A2233" s="6" t="str">
        <f aca="false">HYPERLINK("https://www.fabsurplus.com/sdi_catalog/salesItemDetails.do?id=100823")</f>
        <v>https://www.fabsurplus.com/sdi_catalog/salesItemDetails.do?id=100823</v>
      </c>
      <c r="B2233" s="6" t="s">
        <v>5203</v>
      </c>
      <c r="C2233" s="6" t="s">
        <v>5180</v>
      </c>
      <c r="D2233" s="6" t="s">
        <v>5204</v>
      </c>
      <c r="E2233" s="6" t="s">
        <v>5202</v>
      </c>
      <c r="F2233" s="6" t="s">
        <v>16</v>
      </c>
      <c r="G2233" s="6" t="s">
        <v>310</v>
      </c>
      <c r="H2233" s="6"/>
      <c r="I2233" s="7" t="n">
        <v>39234</v>
      </c>
      <c r="J2233" s="6" t="s">
        <v>81</v>
      </c>
      <c r="K2233" s="6"/>
    </row>
    <row r="2234" customFormat="false" ht="12.8" hidden="false" customHeight="false" outlineLevel="0" collapsed="false">
      <c r="A2234" s="8" t="str">
        <f aca="false">HYPERLINK("https://www.fabsurplus.com/sdi_catalog/salesItemDetails.do?id=100822")</f>
        <v>https://www.fabsurplus.com/sdi_catalog/salesItemDetails.do?id=100822</v>
      </c>
      <c r="B2234" s="8" t="s">
        <v>5205</v>
      </c>
      <c r="C2234" s="8" t="s">
        <v>5180</v>
      </c>
      <c r="D2234" s="8" t="s">
        <v>5204</v>
      </c>
      <c r="E2234" s="8" t="s">
        <v>5202</v>
      </c>
      <c r="F2234" s="8" t="s">
        <v>16</v>
      </c>
      <c r="G2234" s="8" t="s">
        <v>310</v>
      </c>
      <c r="H2234" s="8"/>
      <c r="I2234" s="9" t="n">
        <v>39234</v>
      </c>
      <c r="J2234" s="8" t="s">
        <v>81</v>
      </c>
      <c r="K2234" s="8"/>
    </row>
    <row r="2235" customFormat="false" ht="12.8" hidden="false" customHeight="false" outlineLevel="0" collapsed="false">
      <c r="A2235" s="6" t="str">
        <f aca="false">HYPERLINK("https://www.fabsurplus.com/sdi_catalog/salesItemDetails.do?id=100821")</f>
        <v>https://www.fabsurplus.com/sdi_catalog/salesItemDetails.do?id=100821</v>
      </c>
      <c r="B2235" s="6" t="s">
        <v>5206</v>
      </c>
      <c r="C2235" s="6" t="s">
        <v>5180</v>
      </c>
      <c r="D2235" s="6" t="s">
        <v>5204</v>
      </c>
      <c r="E2235" s="6" t="s">
        <v>5202</v>
      </c>
      <c r="F2235" s="6" t="s">
        <v>16</v>
      </c>
      <c r="G2235" s="6" t="s">
        <v>310</v>
      </c>
      <c r="H2235" s="6"/>
      <c r="I2235" s="6"/>
      <c r="J2235" s="6" t="s">
        <v>81</v>
      </c>
      <c r="K2235" s="6"/>
    </row>
    <row r="2236" customFormat="false" ht="12.8" hidden="false" customHeight="false" outlineLevel="0" collapsed="false">
      <c r="A2236" s="8" t="str">
        <f aca="false">HYPERLINK("https://www.fabsurplus.com/sdi_catalog/salesItemDetails.do?id=100824")</f>
        <v>https://www.fabsurplus.com/sdi_catalog/salesItemDetails.do?id=100824</v>
      </c>
      <c r="B2236" s="8" t="s">
        <v>5207</v>
      </c>
      <c r="C2236" s="8" t="s">
        <v>5180</v>
      </c>
      <c r="D2236" s="8" t="s">
        <v>5208</v>
      </c>
      <c r="E2236" s="8" t="s">
        <v>5209</v>
      </c>
      <c r="F2236" s="8" t="s">
        <v>16</v>
      </c>
      <c r="G2236" s="8" t="s">
        <v>310</v>
      </c>
      <c r="H2236" s="8"/>
      <c r="I2236" s="9" t="n">
        <v>38869</v>
      </c>
      <c r="J2236" s="8" t="s">
        <v>81</v>
      </c>
      <c r="K2236" s="8"/>
    </row>
    <row r="2237" customFormat="false" ht="12.8" hidden="false" customHeight="false" outlineLevel="0" collapsed="false">
      <c r="A2237" s="6" t="str">
        <f aca="false">HYPERLINK("https://www.fabsurplus.com/sdi_catalog/salesItemDetails.do?id=100825")</f>
        <v>https://www.fabsurplus.com/sdi_catalog/salesItemDetails.do?id=100825</v>
      </c>
      <c r="B2237" s="6" t="s">
        <v>5210</v>
      </c>
      <c r="C2237" s="6" t="s">
        <v>5180</v>
      </c>
      <c r="D2237" s="6" t="s">
        <v>5211</v>
      </c>
      <c r="E2237" s="6" t="s">
        <v>5202</v>
      </c>
      <c r="F2237" s="6" t="s">
        <v>16</v>
      </c>
      <c r="G2237" s="6" t="s">
        <v>310</v>
      </c>
      <c r="H2237" s="6"/>
      <c r="I2237" s="7" t="n">
        <v>39600</v>
      </c>
      <c r="J2237" s="6" t="s">
        <v>81</v>
      </c>
      <c r="K2237" s="6"/>
    </row>
    <row r="2238" customFormat="false" ht="12.8" hidden="false" customHeight="false" outlineLevel="0" collapsed="false">
      <c r="A2238" s="8" t="str">
        <f aca="false">HYPERLINK("https://www.fabsurplus.com/sdi_catalog/salesItemDetails.do?id=100826")</f>
        <v>https://www.fabsurplus.com/sdi_catalog/salesItemDetails.do?id=100826</v>
      </c>
      <c r="B2238" s="8" t="s">
        <v>5212</v>
      </c>
      <c r="C2238" s="8" t="s">
        <v>5180</v>
      </c>
      <c r="D2238" s="8" t="s">
        <v>5213</v>
      </c>
      <c r="E2238" s="8" t="s">
        <v>5182</v>
      </c>
      <c r="F2238" s="8" t="s">
        <v>16</v>
      </c>
      <c r="G2238" s="8" t="s">
        <v>372</v>
      </c>
      <c r="H2238" s="8"/>
      <c r="I2238" s="8"/>
      <c r="J2238" s="8" t="s">
        <v>81</v>
      </c>
      <c r="K2238" s="8"/>
    </row>
    <row r="2239" customFormat="false" ht="12.8" hidden="false" customHeight="false" outlineLevel="0" collapsed="false">
      <c r="A2239" s="6" t="str">
        <f aca="false">HYPERLINK("https://www.fabsurplus.com/sdi_catalog/salesItemDetails.do?id=100827")</f>
        <v>https://www.fabsurplus.com/sdi_catalog/salesItemDetails.do?id=100827</v>
      </c>
      <c r="B2239" s="6" t="s">
        <v>5214</v>
      </c>
      <c r="C2239" s="6" t="s">
        <v>5180</v>
      </c>
      <c r="D2239" s="6" t="s">
        <v>5215</v>
      </c>
      <c r="E2239" s="6" t="s">
        <v>5182</v>
      </c>
      <c r="F2239" s="6" t="s">
        <v>16</v>
      </c>
      <c r="G2239" s="6" t="s">
        <v>372</v>
      </c>
      <c r="H2239" s="6"/>
      <c r="I2239" s="6"/>
      <c r="J2239" s="6" t="s">
        <v>81</v>
      </c>
      <c r="K2239" s="6"/>
    </row>
    <row r="2240" customFormat="false" ht="12.8" hidden="false" customHeight="false" outlineLevel="0" collapsed="false">
      <c r="A2240" s="6" t="str">
        <f aca="false">HYPERLINK("https://www.fabsurplus.com/sdi_catalog/salesItemDetails.do?id=100829")</f>
        <v>https://www.fabsurplus.com/sdi_catalog/salesItemDetails.do?id=100829</v>
      </c>
      <c r="B2240" s="6" t="s">
        <v>5216</v>
      </c>
      <c r="C2240" s="6" t="s">
        <v>5180</v>
      </c>
      <c r="D2240" s="6" t="s">
        <v>5217</v>
      </c>
      <c r="E2240" s="6" t="s">
        <v>5184</v>
      </c>
      <c r="F2240" s="6" t="s">
        <v>16</v>
      </c>
      <c r="G2240" s="6" t="s">
        <v>32</v>
      </c>
      <c r="H2240" s="6"/>
      <c r="I2240" s="7" t="n">
        <v>35217</v>
      </c>
      <c r="J2240" s="6" t="s">
        <v>81</v>
      </c>
      <c r="K2240" s="6"/>
    </row>
    <row r="2241" customFormat="false" ht="12.8" hidden="false" customHeight="false" outlineLevel="0" collapsed="false">
      <c r="A2241" s="8" t="str">
        <f aca="false">HYPERLINK("https://www.fabsurplus.com/sdi_catalog/salesItemDetails.do?id=100828")</f>
        <v>https://www.fabsurplus.com/sdi_catalog/salesItemDetails.do?id=100828</v>
      </c>
      <c r="B2241" s="8" t="s">
        <v>5218</v>
      </c>
      <c r="C2241" s="8" t="s">
        <v>5180</v>
      </c>
      <c r="D2241" s="8" t="s">
        <v>5217</v>
      </c>
      <c r="E2241" s="8" t="s">
        <v>5184</v>
      </c>
      <c r="F2241" s="8" t="s">
        <v>16</v>
      </c>
      <c r="G2241" s="8" t="s">
        <v>32</v>
      </c>
      <c r="H2241" s="8"/>
      <c r="I2241" s="9" t="n">
        <v>35217</v>
      </c>
      <c r="J2241" s="8" t="s">
        <v>81</v>
      </c>
      <c r="K2241" s="8"/>
    </row>
    <row r="2242" customFormat="false" ht="12.8" hidden="false" customHeight="false" outlineLevel="0" collapsed="false">
      <c r="A2242" s="8" t="str">
        <f aca="false">HYPERLINK("https://www.fabsurplus.com/sdi_catalog/salesItemDetails.do?id=100239")</f>
        <v>https://www.fabsurplus.com/sdi_catalog/salesItemDetails.do?id=100239</v>
      </c>
      <c r="B2242" s="8" t="s">
        <v>5219</v>
      </c>
      <c r="C2242" s="8" t="s">
        <v>5180</v>
      </c>
      <c r="D2242" s="8" t="s">
        <v>5220</v>
      </c>
      <c r="E2242" s="8" t="s">
        <v>2561</v>
      </c>
      <c r="F2242" s="8" t="s">
        <v>16</v>
      </c>
      <c r="G2242" s="8" t="s">
        <v>686</v>
      </c>
      <c r="H2242" s="8" t="s">
        <v>18</v>
      </c>
      <c r="I2242" s="9" t="n">
        <v>37773</v>
      </c>
      <c r="J2242" s="8" t="s">
        <v>19</v>
      </c>
      <c r="K2242" s="8" t="s">
        <v>20</v>
      </c>
    </row>
    <row r="2243" customFormat="false" ht="12.8" hidden="false" customHeight="false" outlineLevel="0" collapsed="false">
      <c r="A2243" s="8" t="str">
        <f aca="false">HYPERLINK("https://www.fabsurplus.com/sdi_catalog/salesItemDetails.do?id=100681")</f>
        <v>https://www.fabsurplus.com/sdi_catalog/salesItemDetails.do?id=100681</v>
      </c>
      <c r="B2243" s="8" t="s">
        <v>5221</v>
      </c>
      <c r="C2243" s="8" t="s">
        <v>5222</v>
      </c>
      <c r="D2243" s="8" t="s">
        <v>5223</v>
      </c>
      <c r="E2243" s="8" t="s">
        <v>731</v>
      </c>
      <c r="F2243" s="8" t="s">
        <v>5224</v>
      </c>
      <c r="G2243" s="8" t="s">
        <v>38</v>
      </c>
      <c r="H2243" s="8"/>
      <c r="I2243" s="8"/>
      <c r="J2243" s="8" t="s">
        <v>19</v>
      </c>
      <c r="K2243" s="8"/>
    </row>
    <row r="2244" customFormat="false" ht="12.8" hidden="false" customHeight="false" outlineLevel="0" collapsed="false">
      <c r="A2244" s="6" t="str">
        <f aca="false">HYPERLINK("https://www.fabsurplus.com/sdi_catalog/salesItemDetails.do?id=97738")</f>
        <v>https://www.fabsurplus.com/sdi_catalog/salesItemDetails.do?id=97738</v>
      </c>
      <c r="B2244" s="6" t="s">
        <v>5225</v>
      </c>
      <c r="C2244" s="6" t="s">
        <v>5226</v>
      </c>
      <c r="D2244" s="6" t="s">
        <v>5227</v>
      </c>
      <c r="E2244" s="6" t="s">
        <v>1432</v>
      </c>
      <c r="F2244" s="6" t="s">
        <v>16</v>
      </c>
      <c r="G2244" s="6" t="s">
        <v>310</v>
      </c>
      <c r="H2244" s="6"/>
      <c r="I2244" s="6"/>
      <c r="J2244" s="6" t="s">
        <v>19</v>
      </c>
      <c r="K2244" s="6"/>
    </row>
    <row r="2245" customFormat="false" ht="12.8" hidden="false" customHeight="false" outlineLevel="0" collapsed="false">
      <c r="A2245" s="6" t="str">
        <f aca="false">HYPERLINK("https://www.fabsurplus.com/sdi_catalog/salesItemDetails.do?id=97968")</f>
        <v>https://www.fabsurplus.com/sdi_catalog/salesItemDetails.do?id=97968</v>
      </c>
      <c r="B2245" s="6" t="s">
        <v>5228</v>
      </c>
      <c r="C2245" s="6" t="s">
        <v>5229</v>
      </c>
      <c r="D2245" s="6" t="s">
        <v>5230</v>
      </c>
      <c r="E2245" s="6" t="s">
        <v>4415</v>
      </c>
      <c r="F2245" s="6" t="s">
        <v>16</v>
      </c>
      <c r="G2245" s="6"/>
      <c r="H2245" s="6"/>
      <c r="I2245" s="6"/>
      <c r="J2245" s="6" t="s">
        <v>81</v>
      </c>
      <c r="K2245" s="6"/>
    </row>
    <row r="2246" customFormat="false" ht="12.8" hidden="false" customHeight="false" outlineLevel="0" collapsed="false">
      <c r="A2246" s="8" t="str">
        <f aca="false">HYPERLINK("https://www.fabsurplus.com/sdi_catalog/salesItemDetails.do?id=97969")</f>
        <v>https://www.fabsurplus.com/sdi_catalog/salesItemDetails.do?id=97969</v>
      </c>
      <c r="B2246" s="8" t="s">
        <v>5231</v>
      </c>
      <c r="C2246" s="8" t="s">
        <v>5229</v>
      </c>
      <c r="D2246" s="8" t="s">
        <v>5232</v>
      </c>
      <c r="E2246" s="8" t="s">
        <v>4418</v>
      </c>
      <c r="F2246" s="8" t="s">
        <v>16</v>
      </c>
      <c r="G2246" s="8" t="s">
        <v>1851</v>
      </c>
      <c r="H2246" s="8"/>
      <c r="I2246" s="8"/>
      <c r="J2246" s="8" t="s">
        <v>81</v>
      </c>
      <c r="K2246" s="8"/>
    </row>
    <row r="2247" customFormat="false" ht="12.8" hidden="false" customHeight="false" outlineLevel="0" collapsed="false">
      <c r="A2247" s="6" t="str">
        <f aca="false">HYPERLINK("https://www.fabsurplus.com/sdi_catalog/salesItemDetails.do?id=97970")</f>
        <v>https://www.fabsurplus.com/sdi_catalog/salesItemDetails.do?id=97970</v>
      </c>
      <c r="B2247" s="6" t="s">
        <v>5233</v>
      </c>
      <c r="C2247" s="6" t="s">
        <v>5229</v>
      </c>
      <c r="D2247" s="6" t="s">
        <v>5234</v>
      </c>
      <c r="E2247" s="6" t="s">
        <v>4418</v>
      </c>
      <c r="F2247" s="6" t="s">
        <v>16</v>
      </c>
      <c r="G2247" s="6" t="s">
        <v>1851</v>
      </c>
      <c r="H2247" s="6"/>
      <c r="I2247" s="6"/>
      <c r="J2247" s="6" t="s">
        <v>81</v>
      </c>
      <c r="K2247" s="6"/>
    </row>
    <row r="2248" customFormat="false" ht="12.8" hidden="false" customHeight="false" outlineLevel="0" collapsed="false">
      <c r="A2248" s="6" t="str">
        <f aca="false">HYPERLINK("https://www.fabsurplus.com/sdi_catalog/salesItemDetails.do?id=100682")</f>
        <v>https://www.fabsurplus.com/sdi_catalog/salesItemDetails.do?id=100682</v>
      </c>
      <c r="B2248" s="6" t="s">
        <v>5235</v>
      </c>
      <c r="C2248" s="6" t="s">
        <v>5236</v>
      </c>
      <c r="D2248" s="6" t="s">
        <v>5237</v>
      </c>
      <c r="E2248" s="6" t="s">
        <v>5238</v>
      </c>
      <c r="F2248" s="6" t="s">
        <v>16</v>
      </c>
      <c r="G2248" s="6" t="s">
        <v>1851</v>
      </c>
      <c r="H2248" s="6"/>
      <c r="I2248" s="6"/>
      <c r="J2248" s="6" t="s">
        <v>19</v>
      </c>
      <c r="K2248" s="6"/>
    </row>
    <row r="2249" customFormat="false" ht="12.8" hidden="false" customHeight="false" outlineLevel="0" collapsed="false">
      <c r="A2249" s="6" t="str">
        <f aca="false">HYPERLINK("https://www.fabsurplus.com/sdi_catalog/salesItemDetails.do?id=100717")</f>
        <v>https://www.fabsurplus.com/sdi_catalog/salesItemDetails.do?id=100717</v>
      </c>
      <c r="B2249" s="6" t="s">
        <v>5239</v>
      </c>
      <c r="C2249" s="6" t="s">
        <v>5240</v>
      </c>
      <c r="D2249" s="6" t="s">
        <v>5241</v>
      </c>
      <c r="E2249" s="6" t="s">
        <v>5242</v>
      </c>
      <c r="F2249" s="6" t="s">
        <v>16</v>
      </c>
      <c r="G2249" s="6" t="s">
        <v>328</v>
      </c>
      <c r="H2249" s="6" t="s">
        <v>18</v>
      </c>
      <c r="I2249" s="6"/>
      <c r="J2249" s="6" t="s">
        <v>19</v>
      </c>
      <c r="K2249" s="6" t="s">
        <v>20</v>
      </c>
    </row>
    <row r="2250" customFormat="false" ht="12.8" hidden="false" customHeight="false" outlineLevel="0" collapsed="false">
      <c r="A2250" s="8" t="str">
        <f aca="false">HYPERLINK("https://www.fabsurplus.com/sdi_catalog/salesItemDetails.do?id=99343")</f>
        <v>https://www.fabsurplus.com/sdi_catalog/salesItemDetails.do?id=99343</v>
      </c>
      <c r="B2250" s="8" t="s">
        <v>5243</v>
      </c>
      <c r="C2250" s="8" t="s">
        <v>5244</v>
      </c>
      <c r="D2250" s="8" t="s">
        <v>5245</v>
      </c>
      <c r="E2250" s="8" t="s">
        <v>2430</v>
      </c>
      <c r="F2250" s="8" t="s">
        <v>626</v>
      </c>
      <c r="G2250" s="8"/>
      <c r="H2250" s="8"/>
      <c r="I2250" s="9" t="n">
        <v>36678</v>
      </c>
      <c r="J2250" s="8" t="s">
        <v>19</v>
      </c>
      <c r="K2250" s="8"/>
    </row>
    <row r="2251" customFormat="false" ht="12.8" hidden="false" customHeight="false" outlineLevel="0" collapsed="false">
      <c r="A2251" s="6" t="str">
        <f aca="false">HYPERLINK("https://www.fabsurplus.com/sdi_catalog/salesItemDetails.do?id=99342")</f>
        <v>https://www.fabsurplus.com/sdi_catalog/salesItemDetails.do?id=99342</v>
      </c>
      <c r="B2251" s="6" t="s">
        <v>5246</v>
      </c>
      <c r="C2251" s="6" t="s">
        <v>5244</v>
      </c>
      <c r="D2251" s="6" t="s">
        <v>5245</v>
      </c>
      <c r="E2251" s="6" t="s">
        <v>2430</v>
      </c>
      <c r="F2251" s="6" t="s">
        <v>16</v>
      </c>
      <c r="G2251" s="6"/>
      <c r="H2251" s="6"/>
      <c r="I2251" s="7" t="n">
        <v>36678</v>
      </c>
      <c r="J2251" s="6" t="s">
        <v>19</v>
      </c>
      <c r="K2251" s="6"/>
    </row>
    <row r="2252" customFormat="false" ht="12.8" hidden="false" customHeight="false" outlineLevel="0" collapsed="false">
      <c r="A2252" s="6" t="str">
        <f aca="false">HYPERLINK("https://www.fabsurplus.com/sdi_catalog/salesItemDetails.do?id=99344")</f>
        <v>https://www.fabsurplus.com/sdi_catalog/salesItemDetails.do?id=99344</v>
      </c>
      <c r="B2252" s="6" t="s">
        <v>5247</v>
      </c>
      <c r="C2252" s="6" t="s">
        <v>5244</v>
      </c>
      <c r="D2252" s="6" t="s">
        <v>5248</v>
      </c>
      <c r="E2252" s="6" t="s">
        <v>2430</v>
      </c>
      <c r="F2252" s="6" t="s">
        <v>211</v>
      </c>
      <c r="G2252" s="6"/>
      <c r="H2252" s="6"/>
      <c r="I2252" s="7" t="n">
        <v>36678</v>
      </c>
      <c r="J2252" s="6" t="s">
        <v>19</v>
      </c>
      <c r="K2252" s="6"/>
    </row>
    <row r="2253" customFormat="false" ht="12.8" hidden="false" customHeight="false" outlineLevel="0" collapsed="false">
      <c r="A2253" s="8" t="str">
        <f aca="false">HYPERLINK("https://www.fabsurplus.com/sdi_catalog/salesItemDetails.do?id=99346")</f>
        <v>https://www.fabsurplus.com/sdi_catalog/salesItemDetails.do?id=99346</v>
      </c>
      <c r="B2253" s="8" t="s">
        <v>5249</v>
      </c>
      <c r="C2253" s="8" t="s">
        <v>5244</v>
      </c>
      <c r="D2253" s="8" t="s">
        <v>5250</v>
      </c>
      <c r="E2253" s="8" t="s">
        <v>2430</v>
      </c>
      <c r="F2253" s="8" t="s">
        <v>626</v>
      </c>
      <c r="G2253" s="8"/>
      <c r="H2253" s="8"/>
      <c r="I2253" s="9" t="n">
        <v>36678</v>
      </c>
      <c r="J2253" s="8" t="s">
        <v>19</v>
      </c>
      <c r="K2253" s="8"/>
    </row>
    <row r="2254" customFormat="false" ht="12.8" hidden="false" customHeight="false" outlineLevel="0" collapsed="false">
      <c r="A2254" s="8" t="str">
        <f aca="false">HYPERLINK("https://www.fabsurplus.com/sdi_catalog/salesItemDetails.do?id=99345")</f>
        <v>https://www.fabsurplus.com/sdi_catalog/salesItemDetails.do?id=99345</v>
      </c>
      <c r="B2254" s="8" t="s">
        <v>5251</v>
      </c>
      <c r="C2254" s="8" t="s">
        <v>5244</v>
      </c>
      <c r="D2254" s="8" t="s">
        <v>5250</v>
      </c>
      <c r="E2254" s="8" t="s">
        <v>2430</v>
      </c>
      <c r="F2254" s="8" t="s">
        <v>16</v>
      </c>
      <c r="G2254" s="8"/>
      <c r="H2254" s="8"/>
      <c r="I2254" s="9" t="n">
        <v>41061</v>
      </c>
      <c r="J2254" s="8" t="s">
        <v>19</v>
      </c>
      <c r="K2254" s="8"/>
    </row>
    <row r="2255" customFormat="false" ht="12.8" hidden="false" customHeight="false" outlineLevel="0" collapsed="false">
      <c r="A2255" s="6" t="str">
        <f aca="false">HYPERLINK("https://www.fabsurplus.com/sdi_catalog/salesItemDetails.do?id=100683")</f>
        <v>https://www.fabsurplus.com/sdi_catalog/salesItemDetails.do?id=100683</v>
      </c>
      <c r="B2255" s="6" t="s">
        <v>5252</v>
      </c>
      <c r="C2255" s="6" t="s">
        <v>5244</v>
      </c>
      <c r="D2255" s="6" t="s">
        <v>5253</v>
      </c>
      <c r="E2255" s="6" t="s">
        <v>5254</v>
      </c>
      <c r="F2255" s="6" t="s">
        <v>16</v>
      </c>
      <c r="G2255" s="6" t="s">
        <v>1851</v>
      </c>
      <c r="H2255" s="6"/>
      <c r="I2255" s="6"/>
      <c r="J2255" s="6" t="s">
        <v>19</v>
      </c>
      <c r="K2255" s="6"/>
    </row>
    <row r="2256" customFormat="false" ht="12.8" hidden="false" customHeight="false" outlineLevel="0" collapsed="false">
      <c r="A2256" s="6" t="str">
        <f aca="false">HYPERLINK("https://www.fabsurplus.com/sdi_catalog/salesItemDetails.do?id=100713")</f>
        <v>https://www.fabsurplus.com/sdi_catalog/salesItemDetails.do?id=100713</v>
      </c>
      <c r="B2256" s="6" t="s">
        <v>5255</v>
      </c>
      <c r="C2256" s="6" t="s">
        <v>5244</v>
      </c>
      <c r="D2256" s="6" t="s">
        <v>5256</v>
      </c>
      <c r="E2256" s="6" t="s">
        <v>1850</v>
      </c>
      <c r="F2256" s="6" t="s">
        <v>611</v>
      </c>
      <c r="G2256" s="6" t="s">
        <v>328</v>
      </c>
      <c r="H2256" s="6" t="s">
        <v>18</v>
      </c>
      <c r="I2256" s="6"/>
      <c r="J2256" s="6" t="s">
        <v>19</v>
      </c>
      <c r="K2256" s="6" t="s">
        <v>20</v>
      </c>
    </row>
    <row r="2257" customFormat="false" ht="12.8" hidden="false" customHeight="false" outlineLevel="0" collapsed="false">
      <c r="A2257" s="8" t="str">
        <f aca="false">HYPERLINK("https://www.fabsurplus.com/sdi_catalog/salesItemDetails.do?id=97971")</f>
        <v>https://www.fabsurplus.com/sdi_catalog/salesItemDetails.do?id=97971</v>
      </c>
      <c r="B2257" s="8" t="s">
        <v>5257</v>
      </c>
      <c r="C2257" s="8" t="s">
        <v>5258</v>
      </c>
      <c r="D2257" s="8" t="s">
        <v>5259</v>
      </c>
      <c r="E2257" s="8" t="s">
        <v>1850</v>
      </c>
      <c r="F2257" s="8" t="s">
        <v>611</v>
      </c>
      <c r="G2257" s="8" t="s">
        <v>1851</v>
      </c>
      <c r="H2257" s="8"/>
      <c r="I2257" s="8"/>
      <c r="J2257" s="8" t="s">
        <v>81</v>
      </c>
      <c r="K2257" s="8"/>
    </row>
    <row r="2258" customFormat="false" ht="12.8" hidden="false" customHeight="false" outlineLevel="0" collapsed="false">
      <c r="A2258" s="8" t="str">
        <f aca="false">HYPERLINK("https://www.fabsurplus.com/sdi_catalog/salesItemDetails.do?id=100045")</f>
        <v>https://www.fabsurplus.com/sdi_catalog/salesItemDetails.do?id=100045</v>
      </c>
      <c r="B2258" s="8" t="s">
        <v>5260</v>
      </c>
      <c r="C2258" s="8" t="s">
        <v>5244</v>
      </c>
      <c r="D2258" s="8" t="s">
        <v>5261</v>
      </c>
      <c r="E2258" s="8" t="s">
        <v>1842</v>
      </c>
      <c r="F2258" s="8" t="s">
        <v>1031</v>
      </c>
      <c r="G2258" s="8"/>
      <c r="H2258" s="8"/>
      <c r="I2258" s="9" t="n">
        <v>38596</v>
      </c>
      <c r="J2258" s="8" t="s">
        <v>19</v>
      </c>
      <c r="K2258" s="8"/>
    </row>
    <row r="2259" customFormat="false" ht="12.8" hidden="false" customHeight="false" outlineLevel="0" collapsed="false">
      <c r="A2259" s="6" t="str">
        <f aca="false">HYPERLINK("https://www.fabsurplus.com/sdi_catalog/salesItemDetails.do?id=99360")</f>
        <v>https://www.fabsurplus.com/sdi_catalog/salesItemDetails.do?id=99360</v>
      </c>
      <c r="B2259" s="6" t="s">
        <v>5262</v>
      </c>
      <c r="C2259" s="6" t="s">
        <v>5244</v>
      </c>
      <c r="D2259" s="6" t="s">
        <v>5263</v>
      </c>
      <c r="E2259" s="6" t="s">
        <v>2430</v>
      </c>
      <c r="F2259" s="6" t="s">
        <v>16</v>
      </c>
      <c r="G2259" s="6"/>
      <c r="H2259" s="6"/>
      <c r="I2259" s="7" t="n">
        <v>38139</v>
      </c>
      <c r="J2259" s="6" t="s">
        <v>19</v>
      </c>
      <c r="K2259" s="6"/>
    </row>
    <row r="2260" customFormat="false" ht="12.8" hidden="false" customHeight="false" outlineLevel="0" collapsed="false">
      <c r="A2260" s="8" t="str">
        <f aca="false">HYPERLINK("https://www.fabsurplus.com/sdi_catalog/salesItemDetails.do?id=99359")</f>
        <v>https://www.fabsurplus.com/sdi_catalog/salesItemDetails.do?id=99359</v>
      </c>
      <c r="B2260" s="8" t="s">
        <v>5264</v>
      </c>
      <c r="C2260" s="8" t="s">
        <v>5244</v>
      </c>
      <c r="D2260" s="8" t="s">
        <v>5263</v>
      </c>
      <c r="E2260" s="8" t="s">
        <v>2430</v>
      </c>
      <c r="F2260" s="8" t="s">
        <v>16</v>
      </c>
      <c r="G2260" s="8"/>
      <c r="H2260" s="8"/>
      <c r="I2260" s="9" t="n">
        <v>37408</v>
      </c>
      <c r="J2260" s="8" t="s">
        <v>19</v>
      </c>
      <c r="K2260" s="8"/>
    </row>
    <row r="2261" customFormat="false" ht="12.8" hidden="false" customHeight="false" outlineLevel="0" collapsed="false">
      <c r="A2261" s="6" t="str">
        <f aca="false">HYPERLINK("https://www.fabsurplus.com/sdi_catalog/salesItemDetails.do?id=99358")</f>
        <v>https://www.fabsurplus.com/sdi_catalog/salesItemDetails.do?id=99358</v>
      </c>
      <c r="B2261" s="6" t="s">
        <v>5265</v>
      </c>
      <c r="C2261" s="6" t="s">
        <v>5244</v>
      </c>
      <c r="D2261" s="6" t="s">
        <v>5263</v>
      </c>
      <c r="E2261" s="6" t="s">
        <v>2430</v>
      </c>
      <c r="F2261" s="6" t="s">
        <v>16</v>
      </c>
      <c r="G2261" s="6"/>
      <c r="H2261" s="6"/>
      <c r="I2261" s="7" t="n">
        <v>38139</v>
      </c>
      <c r="J2261" s="6" t="s">
        <v>19</v>
      </c>
      <c r="K2261" s="6"/>
    </row>
    <row r="2262" customFormat="false" ht="12.8" hidden="false" customHeight="false" outlineLevel="0" collapsed="false">
      <c r="A2262" s="8" t="str">
        <f aca="false">HYPERLINK("https://www.fabsurplus.com/sdi_catalog/salesItemDetails.do?id=99357")</f>
        <v>https://www.fabsurplus.com/sdi_catalog/salesItemDetails.do?id=99357</v>
      </c>
      <c r="B2262" s="8" t="s">
        <v>5266</v>
      </c>
      <c r="C2262" s="8" t="s">
        <v>5244</v>
      </c>
      <c r="D2262" s="8" t="s">
        <v>5263</v>
      </c>
      <c r="E2262" s="8" t="s">
        <v>2430</v>
      </c>
      <c r="F2262" s="8" t="s">
        <v>16</v>
      </c>
      <c r="G2262" s="8"/>
      <c r="H2262" s="8"/>
      <c r="I2262" s="9" t="n">
        <v>38139</v>
      </c>
      <c r="J2262" s="8" t="s">
        <v>19</v>
      </c>
      <c r="K2262" s="8"/>
    </row>
    <row r="2263" customFormat="false" ht="12.8" hidden="false" customHeight="false" outlineLevel="0" collapsed="false">
      <c r="A2263" s="6" t="str">
        <f aca="false">HYPERLINK("https://www.fabsurplus.com/sdi_catalog/salesItemDetails.do?id=99356")</f>
        <v>https://www.fabsurplus.com/sdi_catalog/salesItemDetails.do?id=99356</v>
      </c>
      <c r="B2263" s="6" t="s">
        <v>5267</v>
      </c>
      <c r="C2263" s="6" t="s">
        <v>5244</v>
      </c>
      <c r="D2263" s="6" t="s">
        <v>5263</v>
      </c>
      <c r="E2263" s="6" t="s">
        <v>2430</v>
      </c>
      <c r="F2263" s="6" t="s">
        <v>16</v>
      </c>
      <c r="G2263" s="6"/>
      <c r="H2263" s="6"/>
      <c r="I2263" s="7" t="n">
        <v>38139</v>
      </c>
      <c r="J2263" s="6" t="s">
        <v>19</v>
      </c>
      <c r="K2263" s="6"/>
    </row>
    <row r="2264" customFormat="false" ht="12.8" hidden="false" customHeight="false" outlineLevel="0" collapsed="false">
      <c r="A2264" s="8" t="str">
        <f aca="false">HYPERLINK("https://www.fabsurplus.com/sdi_catalog/salesItemDetails.do?id=99355")</f>
        <v>https://www.fabsurplus.com/sdi_catalog/salesItemDetails.do?id=99355</v>
      </c>
      <c r="B2264" s="8" t="s">
        <v>5268</v>
      </c>
      <c r="C2264" s="8" t="s">
        <v>5244</v>
      </c>
      <c r="D2264" s="8" t="s">
        <v>5263</v>
      </c>
      <c r="E2264" s="8" t="s">
        <v>2430</v>
      </c>
      <c r="F2264" s="8" t="s">
        <v>16</v>
      </c>
      <c r="G2264" s="8"/>
      <c r="H2264" s="8"/>
      <c r="I2264" s="9" t="n">
        <v>37773</v>
      </c>
      <c r="J2264" s="8" t="s">
        <v>19</v>
      </c>
      <c r="K2264" s="8"/>
    </row>
    <row r="2265" customFormat="false" ht="12.8" hidden="false" customHeight="false" outlineLevel="0" collapsed="false">
      <c r="A2265" s="6" t="str">
        <f aca="false">HYPERLINK("https://www.fabsurplus.com/sdi_catalog/salesItemDetails.do?id=99354")</f>
        <v>https://www.fabsurplus.com/sdi_catalog/salesItemDetails.do?id=99354</v>
      </c>
      <c r="B2265" s="6" t="s">
        <v>5269</v>
      </c>
      <c r="C2265" s="6" t="s">
        <v>5244</v>
      </c>
      <c r="D2265" s="6" t="s">
        <v>5263</v>
      </c>
      <c r="E2265" s="6" t="s">
        <v>2430</v>
      </c>
      <c r="F2265" s="6" t="s">
        <v>16</v>
      </c>
      <c r="G2265" s="6"/>
      <c r="H2265" s="6"/>
      <c r="I2265" s="7" t="n">
        <v>37773</v>
      </c>
      <c r="J2265" s="6" t="s">
        <v>19</v>
      </c>
      <c r="K2265" s="6"/>
    </row>
    <row r="2266" customFormat="false" ht="12.8" hidden="false" customHeight="false" outlineLevel="0" collapsed="false">
      <c r="A2266" s="8" t="str">
        <f aca="false">HYPERLINK("https://www.fabsurplus.com/sdi_catalog/salesItemDetails.do?id=99353")</f>
        <v>https://www.fabsurplus.com/sdi_catalog/salesItemDetails.do?id=99353</v>
      </c>
      <c r="B2266" s="8" t="s">
        <v>5270</v>
      </c>
      <c r="C2266" s="8" t="s">
        <v>5244</v>
      </c>
      <c r="D2266" s="8" t="s">
        <v>5263</v>
      </c>
      <c r="E2266" s="8" t="s">
        <v>2430</v>
      </c>
      <c r="F2266" s="8" t="s">
        <v>16</v>
      </c>
      <c r="G2266" s="8"/>
      <c r="H2266" s="8"/>
      <c r="I2266" s="9" t="n">
        <v>37773</v>
      </c>
      <c r="J2266" s="8" t="s">
        <v>19</v>
      </c>
      <c r="K2266" s="8"/>
    </row>
    <row r="2267" customFormat="false" ht="12.8" hidden="false" customHeight="false" outlineLevel="0" collapsed="false">
      <c r="A2267" s="6" t="str">
        <f aca="false">HYPERLINK("https://www.fabsurplus.com/sdi_catalog/salesItemDetails.do?id=99352")</f>
        <v>https://www.fabsurplus.com/sdi_catalog/salesItemDetails.do?id=99352</v>
      </c>
      <c r="B2267" s="6" t="s">
        <v>5271</v>
      </c>
      <c r="C2267" s="6" t="s">
        <v>5244</v>
      </c>
      <c r="D2267" s="6" t="s">
        <v>5263</v>
      </c>
      <c r="E2267" s="6" t="s">
        <v>2430</v>
      </c>
      <c r="F2267" s="6" t="s">
        <v>16</v>
      </c>
      <c r="G2267" s="6"/>
      <c r="H2267" s="6"/>
      <c r="I2267" s="7" t="n">
        <v>37773</v>
      </c>
      <c r="J2267" s="6" t="s">
        <v>19</v>
      </c>
      <c r="K2267" s="6"/>
    </row>
    <row r="2268" customFormat="false" ht="12.8" hidden="false" customHeight="false" outlineLevel="0" collapsed="false">
      <c r="A2268" s="8" t="str">
        <f aca="false">HYPERLINK("https://www.fabsurplus.com/sdi_catalog/salesItemDetails.do?id=99351")</f>
        <v>https://www.fabsurplus.com/sdi_catalog/salesItemDetails.do?id=99351</v>
      </c>
      <c r="B2268" s="8" t="s">
        <v>5272</v>
      </c>
      <c r="C2268" s="8" t="s">
        <v>5244</v>
      </c>
      <c r="D2268" s="8" t="s">
        <v>5263</v>
      </c>
      <c r="E2268" s="8" t="s">
        <v>2430</v>
      </c>
      <c r="F2268" s="8" t="s">
        <v>16</v>
      </c>
      <c r="G2268" s="8"/>
      <c r="H2268" s="8"/>
      <c r="I2268" s="9" t="n">
        <v>37773</v>
      </c>
      <c r="J2268" s="8" t="s">
        <v>19</v>
      </c>
      <c r="K2268" s="8"/>
    </row>
    <row r="2269" customFormat="false" ht="12.8" hidden="false" customHeight="false" outlineLevel="0" collapsed="false">
      <c r="A2269" s="6" t="str">
        <f aca="false">HYPERLINK("https://www.fabsurplus.com/sdi_catalog/salesItemDetails.do?id=99350")</f>
        <v>https://www.fabsurplus.com/sdi_catalog/salesItemDetails.do?id=99350</v>
      </c>
      <c r="B2269" s="6" t="s">
        <v>5273</v>
      </c>
      <c r="C2269" s="6" t="s">
        <v>5244</v>
      </c>
      <c r="D2269" s="6" t="s">
        <v>5263</v>
      </c>
      <c r="E2269" s="6" t="s">
        <v>2430</v>
      </c>
      <c r="F2269" s="6" t="s">
        <v>781</v>
      </c>
      <c r="G2269" s="6"/>
      <c r="H2269" s="6"/>
      <c r="I2269" s="7" t="n">
        <v>37773</v>
      </c>
      <c r="J2269" s="6" t="s">
        <v>19</v>
      </c>
      <c r="K2269" s="6"/>
    </row>
    <row r="2270" customFormat="false" ht="12.8" hidden="false" customHeight="false" outlineLevel="0" collapsed="false">
      <c r="A2270" s="8" t="str">
        <f aca="false">HYPERLINK("https://www.fabsurplus.com/sdi_catalog/salesItemDetails.do?id=99349")</f>
        <v>https://www.fabsurplus.com/sdi_catalog/salesItemDetails.do?id=99349</v>
      </c>
      <c r="B2270" s="8" t="s">
        <v>5274</v>
      </c>
      <c r="C2270" s="8" t="s">
        <v>5244</v>
      </c>
      <c r="D2270" s="8" t="s">
        <v>5263</v>
      </c>
      <c r="E2270" s="8" t="s">
        <v>2430</v>
      </c>
      <c r="F2270" s="8" t="s">
        <v>16</v>
      </c>
      <c r="G2270" s="8"/>
      <c r="H2270" s="8"/>
      <c r="I2270" s="9" t="n">
        <v>37773</v>
      </c>
      <c r="J2270" s="8" t="s">
        <v>19</v>
      </c>
      <c r="K2270" s="8"/>
    </row>
    <row r="2271" customFormat="false" ht="12.8" hidden="false" customHeight="false" outlineLevel="0" collapsed="false">
      <c r="A2271" s="6" t="str">
        <f aca="false">HYPERLINK("https://www.fabsurplus.com/sdi_catalog/salesItemDetails.do?id=99348")</f>
        <v>https://www.fabsurplus.com/sdi_catalog/salesItemDetails.do?id=99348</v>
      </c>
      <c r="B2271" s="6" t="s">
        <v>5275</v>
      </c>
      <c r="C2271" s="6" t="s">
        <v>5244</v>
      </c>
      <c r="D2271" s="6" t="s">
        <v>5263</v>
      </c>
      <c r="E2271" s="6" t="s">
        <v>2430</v>
      </c>
      <c r="F2271" s="6" t="s">
        <v>16</v>
      </c>
      <c r="G2271" s="6"/>
      <c r="H2271" s="6"/>
      <c r="I2271" s="7" t="n">
        <v>37408</v>
      </c>
      <c r="J2271" s="6" t="s">
        <v>19</v>
      </c>
      <c r="K2271" s="6"/>
    </row>
    <row r="2272" customFormat="false" ht="12.8" hidden="false" customHeight="false" outlineLevel="0" collapsed="false">
      <c r="A2272" s="6" t="str">
        <f aca="false">HYPERLINK("https://www.fabsurplus.com/sdi_catalog/salesItemDetails.do?id=100684")</f>
        <v>https://www.fabsurplus.com/sdi_catalog/salesItemDetails.do?id=100684</v>
      </c>
      <c r="B2272" s="6" t="s">
        <v>5276</v>
      </c>
      <c r="C2272" s="6" t="s">
        <v>5258</v>
      </c>
      <c r="D2272" s="6" t="s">
        <v>5277</v>
      </c>
      <c r="E2272" s="6" t="s">
        <v>2430</v>
      </c>
      <c r="F2272" s="6" t="s">
        <v>16</v>
      </c>
      <c r="G2272" s="6" t="s">
        <v>1851</v>
      </c>
      <c r="H2272" s="6"/>
      <c r="I2272" s="6"/>
      <c r="J2272" s="6" t="s">
        <v>19</v>
      </c>
      <c r="K2272" s="6"/>
    </row>
    <row r="2273" customFormat="false" ht="12.8" hidden="false" customHeight="false" outlineLevel="0" collapsed="false">
      <c r="A2273" s="6" t="str">
        <f aca="false">HYPERLINK("https://www.fabsurplus.com/sdi_catalog/salesItemDetails.do?id=97974")</f>
        <v>https://www.fabsurplus.com/sdi_catalog/salesItemDetails.do?id=97974</v>
      </c>
      <c r="B2273" s="6" t="s">
        <v>5278</v>
      </c>
      <c r="C2273" s="6" t="s">
        <v>5279</v>
      </c>
      <c r="D2273" s="6" t="s">
        <v>5280</v>
      </c>
      <c r="E2273" s="6" t="s">
        <v>1911</v>
      </c>
      <c r="F2273" s="6" t="s">
        <v>5281</v>
      </c>
      <c r="G2273" s="6" t="s">
        <v>1851</v>
      </c>
      <c r="H2273" s="6"/>
      <c r="I2273" s="6"/>
      <c r="J2273" s="6" t="s">
        <v>81</v>
      </c>
      <c r="K2273" s="6"/>
    </row>
    <row r="2274" customFormat="false" ht="12.8" hidden="false" customHeight="false" outlineLevel="0" collapsed="false">
      <c r="A2274" s="8" t="str">
        <f aca="false">HYPERLINK("https://www.fabsurplus.com/sdi_catalog/salesItemDetails.do?id=97975")</f>
        <v>https://www.fabsurplus.com/sdi_catalog/salesItemDetails.do?id=97975</v>
      </c>
      <c r="B2274" s="8" t="s">
        <v>5282</v>
      </c>
      <c r="C2274" s="8" t="s">
        <v>5279</v>
      </c>
      <c r="D2274" s="8" t="s">
        <v>5283</v>
      </c>
      <c r="E2274" s="8" t="s">
        <v>1911</v>
      </c>
      <c r="F2274" s="8" t="s">
        <v>245</v>
      </c>
      <c r="G2274" s="8" t="s">
        <v>1851</v>
      </c>
      <c r="H2274" s="8"/>
      <c r="I2274" s="8"/>
      <c r="J2274" s="8" t="s">
        <v>81</v>
      </c>
      <c r="K2274" s="8"/>
    </row>
    <row r="2275" customFormat="false" ht="12.8" hidden="false" customHeight="false" outlineLevel="0" collapsed="false">
      <c r="A2275" s="6" t="str">
        <f aca="false">HYPERLINK("https://www.fabsurplus.com/sdi_catalog/salesItemDetails.do?id=97877")</f>
        <v>https://www.fabsurplus.com/sdi_catalog/salesItemDetails.do?id=97877</v>
      </c>
      <c r="B2275" s="6" t="s">
        <v>5284</v>
      </c>
      <c r="C2275" s="6" t="s">
        <v>5285</v>
      </c>
      <c r="D2275" s="6" t="s">
        <v>5286</v>
      </c>
      <c r="E2275" s="6" t="s">
        <v>5287</v>
      </c>
      <c r="F2275" s="6" t="s">
        <v>16</v>
      </c>
      <c r="G2275" s="6"/>
      <c r="H2275" s="6"/>
      <c r="I2275" s="7" t="n">
        <v>38869</v>
      </c>
      <c r="J2275" s="6" t="s">
        <v>19</v>
      </c>
      <c r="K2275" s="6"/>
    </row>
    <row r="2276" customFormat="false" ht="12.8" hidden="false" customHeight="false" outlineLevel="0" collapsed="false">
      <c r="A2276" s="8" t="str">
        <f aca="false">HYPERLINK("https://www.fabsurplus.com/sdi_catalog/salesItemDetails.do?id=99362")</f>
        <v>https://www.fabsurplus.com/sdi_catalog/salesItemDetails.do?id=99362</v>
      </c>
      <c r="B2276" s="8" t="s">
        <v>5288</v>
      </c>
      <c r="C2276" s="8" t="s">
        <v>5285</v>
      </c>
      <c r="D2276" s="8" t="s">
        <v>5289</v>
      </c>
      <c r="E2276" s="8" t="s">
        <v>5290</v>
      </c>
      <c r="F2276" s="8" t="s">
        <v>16</v>
      </c>
      <c r="G2276" s="8"/>
      <c r="H2276" s="8" t="s">
        <v>18</v>
      </c>
      <c r="I2276" s="9" t="n">
        <v>36678</v>
      </c>
      <c r="J2276" s="8" t="s">
        <v>19</v>
      </c>
      <c r="K2276" s="8"/>
    </row>
    <row r="2277" customFormat="false" ht="12.8" hidden="false" customHeight="false" outlineLevel="0" collapsed="false">
      <c r="A2277" s="8" t="str">
        <f aca="false">HYPERLINK("https://www.fabsurplus.com/sdi_catalog/salesItemDetails.do?id=97900")</f>
        <v>https://www.fabsurplus.com/sdi_catalog/salesItemDetails.do?id=97900</v>
      </c>
      <c r="B2277" s="8" t="s">
        <v>5291</v>
      </c>
      <c r="C2277" s="8" t="s">
        <v>5292</v>
      </c>
      <c r="D2277" s="8" t="s">
        <v>5293</v>
      </c>
      <c r="E2277" s="8" t="s">
        <v>5294</v>
      </c>
      <c r="F2277" s="8" t="s">
        <v>16</v>
      </c>
      <c r="G2277" s="8"/>
      <c r="H2277" s="8"/>
      <c r="I2277" s="9" t="n">
        <v>41791</v>
      </c>
      <c r="J2277" s="8" t="s">
        <v>19</v>
      </c>
      <c r="K2277" s="8"/>
    </row>
    <row r="2278" customFormat="false" ht="12.8" hidden="false" customHeight="false" outlineLevel="0" collapsed="false">
      <c r="A2278" s="6" t="str">
        <f aca="false">HYPERLINK("https://www.fabsurplus.com/sdi_catalog/salesItemDetails.do?id=97080")</f>
        <v>https://www.fabsurplus.com/sdi_catalog/salesItemDetails.do?id=97080</v>
      </c>
      <c r="B2278" s="6" t="s">
        <v>5295</v>
      </c>
      <c r="C2278" s="6" t="s">
        <v>5296</v>
      </c>
      <c r="D2278" s="6" t="s">
        <v>5297</v>
      </c>
      <c r="E2278" s="6" t="s">
        <v>5298</v>
      </c>
      <c r="F2278" s="6" t="s">
        <v>16</v>
      </c>
      <c r="G2278" s="6"/>
      <c r="H2278" s="6" t="s">
        <v>167</v>
      </c>
      <c r="I2278" s="7" t="n">
        <v>41703.6838888889</v>
      </c>
      <c r="J2278" s="6" t="s">
        <v>81</v>
      </c>
      <c r="K2278" s="6"/>
    </row>
    <row r="2279" customFormat="false" ht="12.8" hidden="false" customHeight="false" outlineLevel="0" collapsed="false">
      <c r="A2279" s="6" t="str">
        <f aca="false">HYPERLINK("https://www.fabsurplus.com/sdi_catalog/salesItemDetails.do?id=100748")</f>
        <v>https://www.fabsurplus.com/sdi_catalog/salesItemDetails.do?id=100748</v>
      </c>
      <c r="B2279" s="6" t="s">
        <v>5299</v>
      </c>
      <c r="C2279" s="6" t="s">
        <v>5300</v>
      </c>
      <c r="D2279" s="6" t="s">
        <v>5301</v>
      </c>
      <c r="E2279" s="6" t="s">
        <v>2515</v>
      </c>
      <c r="F2279" s="6" t="s">
        <v>16</v>
      </c>
      <c r="G2279" s="6"/>
      <c r="H2279" s="6"/>
      <c r="I2279" s="7" t="n">
        <v>37773</v>
      </c>
      <c r="J2279" s="6" t="s">
        <v>19</v>
      </c>
      <c r="K2279" s="6"/>
    </row>
    <row r="2280" customFormat="false" ht="12.8" hidden="false" customHeight="false" outlineLevel="0" collapsed="false">
      <c r="A2280" s="6" t="str">
        <f aca="false">HYPERLINK("https://www.fabsurplus.com/sdi_catalog/salesItemDetails.do?id=100650")</f>
        <v>https://www.fabsurplus.com/sdi_catalog/salesItemDetails.do?id=100650</v>
      </c>
      <c r="B2280" s="6" t="s">
        <v>5302</v>
      </c>
      <c r="C2280" s="6" t="s">
        <v>5303</v>
      </c>
      <c r="D2280" s="6" t="s">
        <v>5304</v>
      </c>
      <c r="E2280" s="6" t="s">
        <v>5305</v>
      </c>
      <c r="F2280" s="6" t="s">
        <v>16</v>
      </c>
      <c r="G2280" s="6" t="s">
        <v>328</v>
      </c>
      <c r="H2280" s="6"/>
      <c r="I2280" s="6"/>
      <c r="J2280" s="6" t="s">
        <v>19</v>
      </c>
      <c r="K2280" s="6"/>
    </row>
    <row r="2281" customFormat="false" ht="12.8" hidden="false" customHeight="false" outlineLevel="0" collapsed="false">
      <c r="A2281" s="8" t="str">
        <f aca="false">HYPERLINK("https://www.fabsurplus.com/sdi_catalog/salesItemDetails.do?id=97878")</f>
        <v>https://www.fabsurplus.com/sdi_catalog/salesItemDetails.do?id=97878</v>
      </c>
      <c r="B2281" s="8" t="s">
        <v>5306</v>
      </c>
      <c r="C2281" s="8" t="s">
        <v>5307</v>
      </c>
      <c r="D2281" s="8" t="s">
        <v>5308</v>
      </c>
      <c r="E2281" s="8" t="s">
        <v>5309</v>
      </c>
      <c r="F2281" s="8" t="s">
        <v>16</v>
      </c>
      <c r="G2281" s="8"/>
      <c r="H2281" s="8"/>
      <c r="I2281" s="8"/>
      <c r="J2281" s="8" t="s">
        <v>19</v>
      </c>
      <c r="K2281" s="8"/>
    </row>
    <row r="2282" customFormat="false" ht="12.8" hidden="false" customHeight="false" outlineLevel="0" collapsed="false">
      <c r="A2282" s="6" t="str">
        <f aca="false">HYPERLINK("https://www.fabsurplus.com/sdi_catalog/salesItemDetails.do?id=98866")</f>
        <v>https://www.fabsurplus.com/sdi_catalog/salesItemDetails.do?id=98866</v>
      </c>
      <c r="B2282" s="6" t="s">
        <v>5310</v>
      </c>
      <c r="C2282" s="6" t="s">
        <v>263</v>
      </c>
      <c r="D2282" s="6" t="s">
        <v>5311</v>
      </c>
      <c r="E2282" s="6" t="s">
        <v>5312</v>
      </c>
      <c r="F2282" s="6" t="s">
        <v>16</v>
      </c>
      <c r="G2282" s="6"/>
      <c r="H2282" s="6"/>
      <c r="I2282" s="6"/>
      <c r="J2282" s="6"/>
      <c r="K2282" s="6"/>
    </row>
    <row r="2283" customFormat="false" ht="12.8" hidden="false" customHeight="false" outlineLevel="0" collapsed="false">
      <c r="A2283" s="8" t="str">
        <f aca="false">HYPERLINK("https://www.fabsurplus.com/sdi_catalog/salesItemDetails.do?id=99271")</f>
        <v>https://www.fabsurplus.com/sdi_catalog/salesItemDetails.do?id=99271</v>
      </c>
      <c r="B2283" s="8" t="s">
        <v>5313</v>
      </c>
      <c r="C2283" s="8" t="s">
        <v>5314</v>
      </c>
      <c r="D2283" s="8" t="s">
        <v>5315</v>
      </c>
      <c r="E2283" s="8" t="s">
        <v>5316</v>
      </c>
      <c r="F2283" s="8" t="s">
        <v>16</v>
      </c>
      <c r="G2283" s="8" t="s">
        <v>5317</v>
      </c>
      <c r="H2283" s="8" t="s">
        <v>18</v>
      </c>
      <c r="I2283" s="9" t="n">
        <v>38869</v>
      </c>
      <c r="J2283" s="8" t="s">
        <v>19</v>
      </c>
      <c r="K2283" s="8" t="s">
        <v>20</v>
      </c>
    </row>
    <row r="2284" customFormat="false" ht="12.8" hidden="false" customHeight="false" outlineLevel="0" collapsed="false">
      <c r="A2284" s="6" t="str">
        <f aca="false">HYPERLINK("https://www.fabsurplus.com/sdi_catalog/salesItemDetails.do?id=100348")</f>
        <v>https://www.fabsurplus.com/sdi_catalog/salesItemDetails.do?id=100348</v>
      </c>
      <c r="B2284" s="6" t="s">
        <v>5318</v>
      </c>
      <c r="C2284" s="6" t="s">
        <v>5314</v>
      </c>
      <c r="D2284" s="6" t="s">
        <v>5319</v>
      </c>
      <c r="E2284" s="6" t="s">
        <v>5320</v>
      </c>
      <c r="F2284" s="6" t="s">
        <v>667</v>
      </c>
      <c r="G2284" s="6" t="s">
        <v>38</v>
      </c>
      <c r="H2284" s="6" t="s">
        <v>33</v>
      </c>
      <c r="I2284" s="7" t="n">
        <v>41791</v>
      </c>
      <c r="J2284" s="6" t="s">
        <v>19</v>
      </c>
      <c r="K2284" s="6" t="s">
        <v>20</v>
      </c>
    </row>
    <row r="2285" customFormat="false" ht="12.8" hidden="false" customHeight="false" outlineLevel="0" collapsed="false">
      <c r="A2285" s="8" t="str">
        <f aca="false">HYPERLINK("https://www.fabsurplus.com/sdi_catalog/salesItemDetails.do?id=100831")</f>
        <v>https://www.fabsurplus.com/sdi_catalog/salesItemDetails.do?id=100831</v>
      </c>
      <c r="B2285" s="8" t="s">
        <v>5321</v>
      </c>
      <c r="C2285" s="8" t="s">
        <v>5322</v>
      </c>
      <c r="D2285" s="8" t="s">
        <v>5323</v>
      </c>
      <c r="E2285" s="8" t="s">
        <v>5324</v>
      </c>
      <c r="F2285" s="8" t="s">
        <v>16</v>
      </c>
      <c r="G2285" s="8" t="s">
        <v>372</v>
      </c>
      <c r="H2285" s="8"/>
      <c r="I2285" s="9" t="n">
        <v>35947</v>
      </c>
      <c r="J2285" s="8" t="s">
        <v>81</v>
      </c>
      <c r="K2285" s="8"/>
    </row>
    <row r="2286" customFormat="false" ht="12.8" hidden="false" customHeight="false" outlineLevel="0" collapsed="false">
      <c r="A2286" s="6" t="str">
        <f aca="false">HYPERLINK("https://www.fabsurplus.com/sdi_catalog/salesItemDetails.do?id=100830")</f>
        <v>https://www.fabsurplus.com/sdi_catalog/salesItemDetails.do?id=100830</v>
      </c>
      <c r="B2286" s="6" t="s">
        <v>5325</v>
      </c>
      <c r="C2286" s="6" t="s">
        <v>5322</v>
      </c>
      <c r="D2286" s="6" t="s">
        <v>5323</v>
      </c>
      <c r="E2286" s="6" t="s">
        <v>5324</v>
      </c>
      <c r="F2286" s="6" t="s">
        <v>16</v>
      </c>
      <c r="G2286" s="6" t="s">
        <v>32</v>
      </c>
      <c r="H2286" s="6"/>
      <c r="I2286" s="7" t="n">
        <v>35947</v>
      </c>
      <c r="J2286" s="6" t="s">
        <v>81</v>
      </c>
      <c r="K2286" s="6"/>
    </row>
    <row r="2287" customFormat="false" ht="12.8" hidden="false" customHeight="false" outlineLevel="0" collapsed="false">
      <c r="A2287" s="8" t="str">
        <f aca="false">HYPERLINK("https://www.fabsurplus.com/sdi_catalog/salesItemDetails.do?id=98225")</f>
        <v>https://www.fabsurplus.com/sdi_catalog/salesItemDetails.do?id=98225</v>
      </c>
      <c r="B2287" s="8" t="s">
        <v>5326</v>
      </c>
      <c r="C2287" s="8" t="s">
        <v>5327</v>
      </c>
      <c r="D2287" s="8" t="s">
        <v>5328</v>
      </c>
      <c r="E2287" s="8" t="s">
        <v>541</v>
      </c>
      <c r="F2287" s="8" t="s">
        <v>781</v>
      </c>
      <c r="G2287" s="8" t="s">
        <v>880</v>
      </c>
      <c r="H2287" s="8"/>
      <c r="I2287" s="8"/>
      <c r="J2287" s="8" t="s">
        <v>81</v>
      </c>
      <c r="K2287" s="8"/>
    </row>
    <row r="2288" customFormat="false" ht="12.8" hidden="false" customHeight="false" outlineLevel="0" collapsed="false">
      <c r="A2288" s="6" t="str">
        <f aca="false">HYPERLINK("https://www.fabsurplus.com/sdi_catalog/salesItemDetails.do?id=98012")</f>
        <v>https://www.fabsurplus.com/sdi_catalog/salesItemDetails.do?id=98012</v>
      </c>
      <c r="B2288" s="6" t="s">
        <v>5329</v>
      </c>
      <c r="C2288" s="6" t="s">
        <v>5330</v>
      </c>
      <c r="D2288" s="6" t="s">
        <v>5331</v>
      </c>
      <c r="E2288" s="6" t="s">
        <v>5332</v>
      </c>
      <c r="F2288" s="6" t="s">
        <v>16</v>
      </c>
      <c r="G2288" s="6" t="s">
        <v>310</v>
      </c>
      <c r="H2288" s="6"/>
      <c r="I2288" s="7" t="n">
        <v>36678</v>
      </c>
      <c r="J2288" s="6" t="s">
        <v>19</v>
      </c>
      <c r="K2288" s="6"/>
    </row>
    <row r="2289" customFormat="false" ht="12.8" hidden="false" customHeight="false" outlineLevel="0" collapsed="false">
      <c r="A2289" s="6" t="str">
        <f aca="false">HYPERLINK("https://www.fabsurplus.com/sdi_catalog/salesItemDetails.do?id=99969")</f>
        <v>https://www.fabsurplus.com/sdi_catalog/salesItemDetails.do?id=99969</v>
      </c>
      <c r="B2289" s="6" t="s">
        <v>531</v>
      </c>
      <c r="C2289" s="6" t="s">
        <v>497</v>
      </c>
      <c r="D2289" s="6" t="s">
        <v>507</v>
      </c>
      <c r="E2289" s="6" t="s">
        <v>515</v>
      </c>
      <c r="F2289" s="6" t="s">
        <v>16</v>
      </c>
      <c r="G2289" s="6" t="s">
        <v>75</v>
      </c>
      <c r="H2289" s="6" t="s">
        <v>18</v>
      </c>
      <c r="I2289" s="7" t="n">
        <v>38504</v>
      </c>
      <c r="J2289" s="6" t="s">
        <v>19</v>
      </c>
      <c r="K2289" s="6" t="s">
        <v>20</v>
      </c>
    </row>
    <row r="2290" customFormat="false" ht="12.8" hidden="false" customHeight="false" outlineLevel="0" collapsed="false">
      <c r="A2290" s="6" t="str">
        <f aca="false">HYPERLINK("https://www.fabsurplus.com/sdi_catalog/salesItemDetails.do?id=99969")</f>
        <v>https://www.fabsurplus.com/sdi_catalog/salesItemDetails.do?id=99969</v>
      </c>
      <c r="B2290" s="6" t="s">
        <v>531</v>
      </c>
      <c r="C2290" s="6" t="s">
        <v>497</v>
      </c>
      <c r="D2290" s="6" t="s">
        <v>507</v>
      </c>
      <c r="E2290" s="6" t="s">
        <v>515</v>
      </c>
      <c r="F2290" s="6" t="s">
        <v>16</v>
      </c>
      <c r="G2290" s="6" t="s">
        <v>75</v>
      </c>
      <c r="H2290" s="6" t="s">
        <v>18</v>
      </c>
      <c r="I2290" s="7" t="n">
        <v>38504</v>
      </c>
      <c r="J2290" s="6" t="s">
        <v>19</v>
      </c>
      <c r="K2290" s="6" t="s">
        <v>20</v>
      </c>
    </row>
    <row r="2291" customFormat="false" ht="12.8" hidden="false" customHeight="false" outlineLevel="0" collapsed="false">
      <c r="A2291" s="6" t="str">
        <f aca="false">HYPERLINK("https://www.fabsurplus.com/sdi_catalog/salesItemDetails.do?id=97976")</f>
        <v>https://www.fabsurplus.com/sdi_catalog/salesItemDetails.do?id=97976</v>
      </c>
      <c r="B2291" s="6" t="s">
        <v>5333</v>
      </c>
      <c r="C2291" s="6" t="s">
        <v>5334</v>
      </c>
      <c r="D2291" s="6" t="s">
        <v>5335</v>
      </c>
      <c r="E2291" s="6" t="s">
        <v>4023</v>
      </c>
      <c r="F2291" s="6" t="s">
        <v>16</v>
      </c>
      <c r="G2291" s="6" t="s">
        <v>1851</v>
      </c>
      <c r="H2291" s="6"/>
      <c r="I2291" s="6"/>
      <c r="J2291" s="6" t="s">
        <v>81</v>
      </c>
      <c r="K2291" s="6"/>
    </row>
    <row r="2292" customFormat="false" ht="12.8" hidden="false" customHeight="false" outlineLevel="0" collapsed="false">
      <c r="A2292" s="8" t="str">
        <f aca="false">HYPERLINK("https://www.fabsurplus.com/sdi_catalog/salesItemDetails.do?id=97977")</f>
        <v>https://www.fabsurplus.com/sdi_catalog/salesItemDetails.do?id=97977</v>
      </c>
      <c r="B2292" s="8" t="s">
        <v>5336</v>
      </c>
      <c r="C2292" s="8" t="s">
        <v>5334</v>
      </c>
      <c r="D2292" s="8" t="s">
        <v>5337</v>
      </c>
      <c r="E2292" s="8" t="s">
        <v>5338</v>
      </c>
      <c r="F2292" s="8" t="s">
        <v>16</v>
      </c>
      <c r="G2292" s="8" t="s">
        <v>1851</v>
      </c>
      <c r="H2292" s="8"/>
      <c r="I2292" s="8"/>
      <c r="J2292" s="8" t="s">
        <v>81</v>
      </c>
      <c r="K2292" s="8"/>
    </row>
    <row r="2293" customFormat="false" ht="12.8" hidden="false" customHeight="false" outlineLevel="0" collapsed="false">
      <c r="A2293" s="8" t="str">
        <f aca="false">HYPERLINK("https://www.fabsurplus.com/sdi_catalog/salesItemDetails.do?id=100047")</f>
        <v>https://www.fabsurplus.com/sdi_catalog/salesItemDetails.do?id=100047</v>
      </c>
      <c r="B2293" s="8" t="s">
        <v>5339</v>
      </c>
      <c r="C2293" s="8" t="s">
        <v>5334</v>
      </c>
      <c r="D2293" s="8" t="s">
        <v>5340</v>
      </c>
      <c r="E2293" s="8" t="s">
        <v>5341</v>
      </c>
      <c r="F2293" s="8" t="s">
        <v>16</v>
      </c>
      <c r="G2293" s="8"/>
      <c r="H2293" s="8"/>
      <c r="I2293" s="8"/>
      <c r="J2293" s="8" t="s">
        <v>19</v>
      </c>
      <c r="K2293" s="8"/>
    </row>
    <row r="2294" customFormat="false" ht="12.8" hidden="false" customHeight="false" outlineLevel="0" collapsed="false">
      <c r="A2294" s="6" t="str">
        <f aca="false">HYPERLINK("https://www.fabsurplus.com/sdi_catalog/salesItemDetails.do?id=100046")</f>
        <v>https://www.fabsurplus.com/sdi_catalog/salesItemDetails.do?id=100046</v>
      </c>
      <c r="B2294" s="6" t="s">
        <v>5342</v>
      </c>
      <c r="C2294" s="6" t="s">
        <v>5334</v>
      </c>
      <c r="D2294" s="6" t="s">
        <v>5340</v>
      </c>
      <c r="E2294" s="6" t="s">
        <v>5341</v>
      </c>
      <c r="F2294" s="6" t="s">
        <v>16</v>
      </c>
      <c r="G2294" s="6"/>
      <c r="H2294" s="6"/>
      <c r="I2294" s="6"/>
      <c r="J2294" s="6" t="s">
        <v>19</v>
      </c>
      <c r="K2294" s="6"/>
    </row>
    <row r="2295" customFormat="false" ht="12.8" hidden="false" customHeight="false" outlineLevel="0" collapsed="false">
      <c r="A2295" s="8" t="str">
        <f aca="false">HYPERLINK("https://www.fabsurplus.com/sdi_catalog/salesItemDetails.do?id=99906")</f>
        <v>https://www.fabsurplus.com/sdi_catalog/salesItemDetails.do?id=99906</v>
      </c>
      <c r="B2295" s="8" t="s">
        <v>5343</v>
      </c>
      <c r="C2295" s="8" t="s">
        <v>5344</v>
      </c>
      <c r="D2295" s="8" t="s">
        <v>5345</v>
      </c>
      <c r="E2295" s="8" t="s">
        <v>2489</v>
      </c>
      <c r="F2295" s="8" t="s">
        <v>16</v>
      </c>
      <c r="G2295" s="8" t="s">
        <v>372</v>
      </c>
      <c r="H2295" s="8" t="s">
        <v>18</v>
      </c>
      <c r="I2295" s="8"/>
      <c r="J2295" s="8" t="s">
        <v>19</v>
      </c>
      <c r="K2295" s="8" t="s">
        <v>20</v>
      </c>
    </row>
    <row r="2296" customFormat="false" ht="12.8" hidden="false" customHeight="false" outlineLevel="0" collapsed="false">
      <c r="A2296" s="6" t="str">
        <f aca="false">HYPERLINK("https://www.fabsurplus.com/sdi_catalog/salesItemDetails.do?id=99829")</f>
        <v>https://www.fabsurplus.com/sdi_catalog/salesItemDetails.do?id=99829</v>
      </c>
      <c r="B2296" s="6" t="s">
        <v>5346</v>
      </c>
      <c r="C2296" s="6" t="s">
        <v>5347</v>
      </c>
      <c r="D2296" s="6" t="s">
        <v>5348</v>
      </c>
      <c r="E2296" s="6" t="s">
        <v>3996</v>
      </c>
      <c r="F2296" s="6" t="s">
        <v>16</v>
      </c>
      <c r="G2296" s="6"/>
      <c r="H2296" s="6" t="s">
        <v>18</v>
      </c>
      <c r="I2296" s="7" t="n">
        <v>37408</v>
      </c>
      <c r="J2296" s="6" t="s">
        <v>19</v>
      </c>
      <c r="K2296" s="6" t="s">
        <v>20</v>
      </c>
    </row>
    <row r="2297" customFormat="false" ht="12.8" hidden="false" customHeight="false" outlineLevel="0" collapsed="false">
      <c r="A2297" s="6" t="str">
        <f aca="false">HYPERLINK("https://www.fabsurplus.com/sdi_catalog/salesItemDetails.do?id=98497")</f>
        <v>https://www.fabsurplus.com/sdi_catalog/salesItemDetails.do?id=98497</v>
      </c>
      <c r="B2297" s="6" t="s">
        <v>5349</v>
      </c>
      <c r="C2297" s="6" t="s">
        <v>5350</v>
      </c>
      <c r="D2297" s="6" t="s">
        <v>5351</v>
      </c>
      <c r="E2297" s="6" t="s">
        <v>2539</v>
      </c>
      <c r="F2297" s="6" t="s">
        <v>16</v>
      </c>
      <c r="G2297" s="6" t="s">
        <v>697</v>
      </c>
      <c r="H2297" s="6"/>
      <c r="I2297" s="6"/>
      <c r="J2297" s="6" t="s">
        <v>19</v>
      </c>
      <c r="K2297" s="6"/>
    </row>
    <row r="2298" customFormat="false" ht="12.8" hidden="false" customHeight="false" outlineLevel="0" collapsed="false">
      <c r="A2298" s="8" t="str">
        <f aca="false">HYPERLINK("https://www.fabsurplus.com/sdi_catalog/salesItemDetails.do?id=100833")</f>
        <v>https://www.fabsurplus.com/sdi_catalog/salesItemDetails.do?id=100833</v>
      </c>
      <c r="B2298" s="8" t="s">
        <v>5352</v>
      </c>
      <c r="C2298" s="8" t="s">
        <v>5353</v>
      </c>
      <c r="D2298" s="8" t="s">
        <v>5354</v>
      </c>
      <c r="E2298" s="8" t="s">
        <v>5355</v>
      </c>
      <c r="F2298" s="8" t="s">
        <v>16</v>
      </c>
      <c r="G2298" s="8" t="s">
        <v>32</v>
      </c>
      <c r="H2298" s="8"/>
      <c r="I2298" s="9" t="n">
        <v>36678</v>
      </c>
      <c r="J2298" s="8" t="s">
        <v>81</v>
      </c>
      <c r="K2298" s="8"/>
    </row>
    <row r="2299" customFormat="false" ht="12.8" hidden="false" customHeight="false" outlineLevel="0" collapsed="false">
      <c r="A2299" s="6" t="str">
        <f aca="false">HYPERLINK("https://www.fabsurplus.com/sdi_catalog/salesItemDetails.do?id=100832")</f>
        <v>https://www.fabsurplus.com/sdi_catalog/salesItemDetails.do?id=100832</v>
      </c>
      <c r="B2299" s="6" t="s">
        <v>5356</v>
      </c>
      <c r="C2299" s="6" t="s">
        <v>5353</v>
      </c>
      <c r="D2299" s="6" t="s">
        <v>5354</v>
      </c>
      <c r="E2299" s="6" t="s">
        <v>5355</v>
      </c>
      <c r="F2299" s="6" t="s">
        <v>16</v>
      </c>
      <c r="G2299" s="6" t="s">
        <v>32</v>
      </c>
      <c r="H2299" s="6"/>
      <c r="I2299" s="7" t="n">
        <v>36678</v>
      </c>
      <c r="J2299" s="6" t="s">
        <v>81</v>
      </c>
      <c r="K2299" s="6"/>
    </row>
    <row r="2300" customFormat="false" ht="12.8" hidden="false" customHeight="false" outlineLevel="0" collapsed="false">
      <c r="A2300" s="6" t="str">
        <f aca="false">HYPERLINK("https://www.fabsurplus.com/sdi_catalog/salesItemDetails.do?id=100834")</f>
        <v>https://www.fabsurplus.com/sdi_catalog/salesItemDetails.do?id=100834</v>
      </c>
      <c r="B2300" s="6" t="s">
        <v>5357</v>
      </c>
      <c r="C2300" s="6" t="s">
        <v>5353</v>
      </c>
      <c r="D2300" s="6" t="s">
        <v>5358</v>
      </c>
      <c r="E2300" s="6" t="s">
        <v>5355</v>
      </c>
      <c r="F2300" s="6" t="s">
        <v>16</v>
      </c>
      <c r="G2300" s="6" t="s">
        <v>310</v>
      </c>
      <c r="H2300" s="6"/>
      <c r="I2300" s="7" t="n">
        <v>39600</v>
      </c>
      <c r="J2300" s="6" t="s">
        <v>81</v>
      </c>
      <c r="K2300" s="6"/>
    </row>
    <row r="2301" customFormat="false" ht="12.8" hidden="false" customHeight="false" outlineLevel="0" collapsed="false">
      <c r="A2301" s="6" t="str">
        <f aca="false">HYPERLINK("https://www.fabsurplus.com/sdi_catalog/salesItemDetails.do?id=98426")</f>
        <v>https://www.fabsurplus.com/sdi_catalog/salesItemDetails.do?id=98426</v>
      </c>
      <c r="B2301" s="6" t="s">
        <v>5359</v>
      </c>
      <c r="C2301" s="6" t="s">
        <v>5360</v>
      </c>
      <c r="D2301" s="6" t="s">
        <v>5361</v>
      </c>
      <c r="E2301" s="6" t="s">
        <v>5362</v>
      </c>
      <c r="F2301" s="6" t="s">
        <v>16</v>
      </c>
      <c r="G2301" s="6" t="s">
        <v>372</v>
      </c>
      <c r="H2301" s="6"/>
      <c r="I2301" s="6"/>
      <c r="J2301" s="6" t="s">
        <v>19</v>
      </c>
      <c r="K2301" s="6"/>
    </row>
    <row r="2302" customFormat="false" ht="12.8" hidden="false" customHeight="false" outlineLevel="0" collapsed="false">
      <c r="A2302" s="8" t="str">
        <f aca="false">HYPERLINK("https://www.fabsurplus.com/sdi_catalog/salesItemDetails.do?id=100835")</f>
        <v>https://www.fabsurplus.com/sdi_catalog/salesItemDetails.do?id=100835</v>
      </c>
      <c r="B2302" s="8" t="s">
        <v>5363</v>
      </c>
      <c r="C2302" s="8" t="s">
        <v>5353</v>
      </c>
      <c r="D2302" s="8" t="s">
        <v>2860</v>
      </c>
      <c r="E2302" s="8" t="s">
        <v>5355</v>
      </c>
      <c r="F2302" s="8" t="s">
        <v>16</v>
      </c>
      <c r="G2302" s="8" t="s">
        <v>32</v>
      </c>
      <c r="H2302" s="8"/>
      <c r="I2302" s="9" t="n">
        <v>37408</v>
      </c>
      <c r="J2302" s="8" t="s">
        <v>81</v>
      </c>
      <c r="K2302" s="8"/>
    </row>
    <row r="2303" customFormat="false" ht="12.8" hidden="false" customHeight="false" outlineLevel="0" collapsed="false">
      <c r="A2303" s="6" t="str">
        <f aca="false">HYPERLINK("https://www.fabsurplus.com/sdi_catalog/salesItemDetails.do?id=99869")</f>
        <v>https://www.fabsurplus.com/sdi_catalog/salesItemDetails.do?id=99869</v>
      </c>
      <c r="B2303" s="6" t="s">
        <v>5364</v>
      </c>
      <c r="C2303" s="6" t="s">
        <v>5365</v>
      </c>
      <c r="D2303" s="6" t="s">
        <v>3495</v>
      </c>
      <c r="E2303" s="6" t="s">
        <v>3265</v>
      </c>
      <c r="F2303" s="6" t="s">
        <v>16</v>
      </c>
      <c r="G2303" s="6" t="s">
        <v>372</v>
      </c>
      <c r="H2303" s="6"/>
      <c r="I2303" s="6"/>
      <c r="J2303" s="6" t="s">
        <v>81</v>
      </c>
      <c r="K2303" s="6"/>
    </row>
    <row r="2304" customFormat="false" ht="12.8" hidden="false" customHeight="false" outlineLevel="0" collapsed="false">
      <c r="A2304" s="6" t="str">
        <f aca="false">HYPERLINK("https://www.fabsurplus.com/sdi_catalog/salesItemDetails.do?id=98427")</f>
        <v>https://www.fabsurplus.com/sdi_catalog/salesItemDetails.do?id=98427</v>
      </c>
      <c r="B2304" s="6" t="s">
        <v>5366</v>
      </c>
      <c r="C2304" s="6" t="s">
        <v>5365</v>
      </c>
      <c r="D2304" s="6" t="s">
        <v>5367</v>
      </c>
      <c r="E2304" s="6" t="s">
        <v>5368</v>
      </c>
      <c r="F2304" s="6" t="s">
        <v>16</v>
      </c>
      <c r="G2304" s="6" t="s">
        <v>612</v>
      </c>
      <c r="H2304" s="6"/>
      <c r="I2304" s="6"/>
      <c r="J2304" s="6" t="s">
        <v>19</v>
      </c>
      <c r="K2304" s="6"/>
    </row>
    <row r="2305" customFormat="false" ht="12.8" hidden="false" customHeight="false" outlineLevel="0" collapsed="false">
      <c r="A2305" s="6" t="str">
        <f aca="false">HYPERLINK("https://www.fabsurplus.com/sdi_catalog/salesItemDetails.do?id=98429")</f>
        <v>https://www.fabsurplus.com/sdi_catalog/salesItemDetails.do?id=98429</v>
      </c>
      <c r="B2305" s="6" t="s">
        <v>5369</v>
      </c>
      <c r="C2305" s="6" t="s">
        <v>5365</v>
      </c>
      <c r="D2305" s="6" t="s">
        <v>2206</v>
      </c>
      <c r="E2305" s="6" t="s">
        <v>5370</v>
      </c>
      <c r="F2305" s="6" t="s">
        <v>16</v>
      </c>
      <c r="G2305" s="6" t="s">
        <v>372</v>
      </c>
      <c r="H2305" s="6"/>
      <c r="I2305" s="6"/>
      <c r="J2305" s="6" t="s">
        <v>19</v>
      </c>
      <c r="K2305" s="6"/>
    </row>
    <row r="2306" customFormat="false" ht="12.8" hidden="false" customHeight="false" outlineLevel="0" collapsed="false">
      <c r="A2306" s="8" t="str">
        <f aca="false">HYPERLINK("https://www.fabsurplus.com/sdi_catalog/salesItemDetails.do?id=98428")</f>
        <v>https://www.fabsurplus.com/sdi_catalog/salesItemDetails.do?id=98428</v>
      </c>
      <c r="B2306" s="8" t="s">
        <v>5371</v>
      </c>
      <c r="C2306" s="8" t="s">
        <v>5365</v>
      </c>
      <c r="D2306" s="8" t="s">
        <v>2206</v>
      </c>
      <c r="E2306" s="8" t="s">
        <v>5370</v>
      </c>
      <c r="F2306" s="8" t="s">
        <v>16</v>
      </c>
      <c r="G2306" s="8" t="s">
        <v>372</v>
      </c>
      <c r="H2306" s="8"/>
      <c r="I2306" s="8"/>
      <c r="J2306" s="8" t="s">
        <v>19</v>
      </c>
      <c r="K2306" s="8"/>
    </row>
    <row r="2307" customFormat="false" ht="12.8" hidden="false" customHeight="false" outlineLevel="0" collapsed="false">
      <c r="A2307" s="6" t="str">
        <f aca="false">HYPERLINK("https://www.fabsurplus.com/sdi_catalog/salesItemDetails.do?id=98433")</f>
        <v>https://www.fabsurplus.com/sdi_catalog/salesItemDetails.do?id=98433</v>
      </c>
      <c r="B2307" s="6" t="s">
        <v>5372</v>
      </c>
      <c r="C2307" s="6" t="s">
        <v>5365</v>
      </c>
      <c r="D2307" s="6" t="s">
        <v>2206</v>
      </c>
      <c r="E2307" s="6" t="s">
        <v>5373</v>
      </c>
      <c r="F2307" s="6" t="s">
        <v>16</v>
      </c>
      <c r="G2307" s="6" t="s">
        <v>372</v>
      </c>
      <c r="H2307" s="6"/>
      <c r="I2307" s="6"/>
      <c r="J2307" s="6" t="s">
        <v>19</v>
      </c>
      <c r="K2307" s="6"/>
    </row>
    <row r="2308" customFormat="false" ht="12.8" hidden="false" customHeight="false" outlineLevel="0" collapsed="false">
      <c r="A2308" s="8" t="str">
        <f aca="false">HYPERLINK("https://www.fabsurplus.com/sdi_catalog/salesItemDetails.do?id=98432")</f>
        <v>https://www.fabsurplus.com/sdi_catalog/salesItemDetails.do?id=98432</v>
      </c>
      <c r="B2308" s="8" t="s">
        <v>5374</v>
      </c>
      <c r="C2308" s="8" t="s">
        <v>5365</v>
      </c>
      <c r="D2308" s="8" t="s">
        <v>2206</v>
      </c>
      <c r="E2308" s="8" t="s">
        <v>5373</v>
      </c>
      <c r="F2308" s="8" t="s">
        <v>16</v>
      </c>
      <c r="G2308" s="8" t="s">
        <v>372</v>
      </c>
      <c r="H2308" s="8"/>
      <c r="I2308" s="8"/>
      <c r="J2308" s="8" t="s">
        <v>19</v>
      </c>
      <c r="K2308" s="8"/>
    </row>
    <row r="2309" customFormat="false" ht="12.8" hidden="false" customHeight="false" outlineLevel="0" collapsed="false">
      <c r="A2309" s="6" t="str">
        <f aca="false">HYPERLINK("https://www.fabsurplus.com/sdi_catalog/salesItemDetails.do?id=98431")</f>
        <v>https://www.fabsurplus.com/sdi_catalog/salesItemDetails.do?id=98431</v>
      </c>
      <c r="B2309" s="6" t="s">
        <v>5375</v>
      </c>
      <c r="C2309" s="6" t="s">
        <v>5365</v>
      </c>
      <c r="D2309" s="6" t="s">
        <v>2206</v>
      </c>
      <c r="E2309" s="6" t="s">
        <v>5373</v>
      </c>
      <c r="F2309" s="6" t="s">
        <v>16</v>
      </c>
      <c r="G2309" s="6" t="s">
        <v>372</v>
      </c>
      <c r="H2309" s="6"/>
      <c r="I2309" s="6"/>
      <c r="J2309" s="6" t="s">
        <v>19</v>
      </c>
      <c r="K2309" s="6"/>
    </row>
    <row r="2310" customFormat="false" ht="12.8" hidden="false" customHeight="false" outlineLevel="0" collapsed="false">
      <c r="A2310" s="8" t="str">
        <f aca="false">HYPERLINK("https://www.fabsurplus.com/sdi_catalog/salesItemDetails.do?id=98430")</f>
        <v>https://www.fabsurplus.com/sdi_catalog/salesItemDetails.do?id=98430</v>
      </c>
      <c r="B2310" s="8" t="s">
        <v>5376</v>
      </c>
      <c r="C2310" s="8" t="s">
        <v>5365</v>
      </c>
      <c r="D2310" s="8" t="s">
        <v>2206</v>
      </c>
      <c r="E2310" s="8" t="s">
        <v>5373</v>
      </c>
      <c r="F2310" s="8" t="s">
        <v>16</v>
      </c>
      <c r="G2310" s="8" t="s">
        <v>372</v>
      </c>
      <c r="H2310" s="8"/>
      <c r="I2310" s="8"/>
      <c r="J2310" s="8" t="s">
        <v>19</v>
      </c>
      <c r="K2310" s="8"/>
    </row>
    <row r="2311" customFormat="false" ht="12.8" hidden="false" customHeight="false" outlineLevel="0" collapsed="false">
      <c r="A2311" s="8" t="str">
        <f aca="false">HYPERLINK("https://www.fabsurplus.com/sdi_catalog/salesItemDetails.do?id=100749")</f>
        <v>https://www.fabsurplus.com/sdi_catalog/salesItemDetails.do?id=100749</v>
      </c>
      <c r="B2311" s="8" t="s">
        <v>5377</v>
      </c>
      <c r="C2311" s="8" t="s">
        <v>5365</v>
      </c>
      <c r="D2311" s="8" t="s">
        <v>5378</v>
      </c>
      <c r="E2311" s="8" t="s">
        <v>5379</v>
      </c>
      <c r="F2311" s="8" t="s">
        <v>16</v>
      </c>
      <c r="G2311" s="8"/>
      <c r="H2311" s="8"/>
      <c r="I2311" s="8"/>
      <c r="J2311" s="8" t="s">
        <v>19</v>
      </c>
      <c r="K2311" s="8"/>
    </row>
    <row r="2312" customFormat="false" ht="12.8" hidden="false" customHeight="false" outlineLevel="0" collapsed="false">
      <c r="A2312" s="6" t="str">
        <f aca="false">HYPERLINK("https://www.fabsurplus.com/sdi_catalog/salesItemDetails.do?id=100750")</f>
        <v>https://www.fabsurplus.com/sdi_catalog/salesItemDetails.do?id=100750</v>
      </c>
      <c r="B2312" s="6" t="s">
        <v>5380</v>
      </c>
      <c r="C2312" s="6" t="s">
        <v>5381</v>
      </c>
      <c r="D2312" s="6" t="s">
        <v>5382</v>
      </c>
      <c r="E2312" s="6" t="s">
        <v>5383</v>
      </c>
      <c r="F2312" s="6" t="s">
        <v>611</v>
      </c>
      <c r="G2312" s="6"/>
      <c r="H2312" s="6"/>
      <c r="I2312" s="6"/>
      <c r="J2312" s="6" t="s">
        <v>19</v>
      </c>
      <c r="K2312" s="6"/>
    </row>
    <row r="2313" customFormat="false" ht="12.8" hidden="false" customHeight="false" outlineLevel="0" collapsed="false">
      <c r="A2313" s="6" t="str">
        <f aca="false">HYPERLINK("https://www.fabsurplus.com/sdi_catalog/salesItemDetails.do?id=98934")</f>
        <v>https://www.fabsurplus.com/sdi_catalog/salesItemDetails.do?id=98934</v>
      </c>
      <c r="B2313" s="6" t="s">
        <v>5384</v>
      </c>
      <c r="C2313" s="6" t="s">
        <v>5385</v>
      </c>
      <c r="D2313" s="6" t="s">
        <v>5386</v>
      </c>
      <c r="E2313" s="6" t="s">
        <v>5387</v>
      </c>
      <c r="F2313" s="6" t="s">
        <v>16</v>
      </c>
      <c r="G2313" s="6"/>
      <c r="H2313" s="6"/>
      <c r="I2313" s="6"/>
      <c r="J2313" s="6" t="s">
        <v>19</v>
      </c>
      <c r="K2313" s="6"/>
    </row>
    <row r="2314" customFormat="false" ht="12.8" hidden="false" customHeight="false" outlineLevel="0" collapsed="false">
      <c r="A2314" s="6" t="str">
        <f aca="false">HYPERLINK("https://www.fabsurplus.com/sdi_catalog/salesItemDetails.do?id=97978")</f>
        <v>https://www.fabsurplus.com/sdi_catalog/salesItemDetails.do?id=97978</v>
      </c>
      <c r="B2314" s="6" t="s">
        <v>5388</v>
      </c>
      <c r="C2314" s="6" t="s">
        <v>5389</v>
      </c>
      <c r="D2314" s="6" t="s">
        <v>5390</v>
      </c>
      <c r="E2314" s="6" t="s">
        <v>4083</v>
      </c>
      <c r="F2314" s="6" t="s">
        <v>16</v>
      </c>
      <c r="G2314" s="6" t="s">
        <v>1851</v>
      </c>
      <c r="H2314" s="6"/>
      <c r="I2314" s="6"/>
      <c r="J2314" s="6" t="s">
        <v>81</v>
      </c>
      <c r="K2314" s="6"/>
    </row>
    <row r="2315" customFormat="false" ht="12.8" hidden="false" customHeight="false" outlineLevel="0" collapsed="false">
      <c r="A2315" s="6" t="str">
        <f aca="false">HYPERLINK("https://www.fabsurplus.com/sdi_catalog/salesItemDetails.do?id=99060")</f>
        <v>https://www.fabsurplus.com/sdi_catalog/salesItemDetails.do?id=99060</v>
      </c>
      <c r="B2315" s="6" t="s">
        <v>5391</v>
      </c>
      <c r="C2315" s="6" t="s">
        <v>5392</v>
      </c>
      <c r="D2315" s="6" t="s">
        <v>5393</v>
      </c>
      <c r="E2315" s="6" t="s">
        <v>5394</v>
      </c>
      <c r="F2315" s="6" t="s">
        <v>16</v>
      </c>
      <c r="G2315" s="6" t="s">
        <v>372</v>
      </c>
      <c r="H2315" s="6" t="s">
        <v>115</v>
      </c>
      <c r="I2315" s="6"/>
      <c r="J2315" s="6" t="s">
        <v>19</v>
      </c>
      <c r="K2315" s="6" t="s">
        <v>3299</v>
      </c>
    </row>
    <row r="2316" customFormat="false" ht="12.8" hidden="false" customHeight="false" outlineLevel="0" collapsed="false">
      <c r="A2316" s="8" t="str">
        <f aca="false">HYPERLINK("https://www.fabsurplus.com/sdi_catalog/salesItemDetails.do?id=97979")</f>
        <v>https://www.fabsurplus.com/sdi_catalog/salesItemDetails.do?id=97979</v>
      </c>
      <c r="B2316" s="8" t="s">
        <v>5395</v>
      </c>
      <c r="C2316" s="8" t="s">
        <v>5389</v>
      </c>
      <c r="D2316" s="8" t="s">
        <v>5393</v>
      </c>
      <c r="E2316" s="8" t="s">
        <v>4083</v>
      </c>
      <c r="F2316" s="8" t="s">
        <v>16</v>
      </c>
      <c r="G2316" s="8" t="s">
        <v>1851</v>
      </c>
      <c r="H2316" s="8"/>
      <c r="I2316" s="8"/>
      <c r="J2316" s="8" t="s">
        <v>81</v>
      </c>
      <c r="K2316" s="8"/>
    </row>
    <row r="2317" customFormat="false" ht="12.8" hidden="false" customHeight="false" outlineLevel="0" collapsed="false">
      <c r="A2317" s="8" t="str">
        <f aca="false">HYPERLINK("https://www.fabsurplus.com/sdi_catalog/salesItemDetails.do?id=98852")</f>
        <v>https://www.fabsurplus.com/sdi_catalog/salesItemDetails.do?id=98852</v>
      </c>
      <c r="B2317" s="8" t="s">
        <v>5396</v>
      </c>
      <c r="C2317" s="8" t="s">
        <v>5389</v>
      </c>
      <c r="D2317" s="8" t="s">
        <v>5393</v>
      </c>
      <c r="E2317" s="8" t="s">
        <v>4074</v>
      </c>
      <c r="F2317" s="8" t="s">
        <v>16</v>
      </c>
      <c r="G2317" s="8"/>
      <c r="H2317" s="8" t="s">
        <v>18</v>
      </c>
      <c r="I2317" s="9" t="n">
        <v>36861</v>
      </c>
      <c r="J2317" s="8" t="s">
        <v>19</v>
      </c>
      <c r="K2317" s="8" t="s">
        <v>20</v>
      </c>
    </row>
    <row r="2318" customFormat="false" ht="12.8" hidden="false" customHeight="false" outlineLevel="0" collapsed="false">
      <c r="A2318" s="6" t="str">
        <f aca="false">HYPERLINK("https://www.fabsurplus.com/sdi_catalog/salesItemDetails.do?id=100751")</f>
        <v>https://www.fabsurplus.com/sdi_catalog/salesItemDetails.do?id=100751</v>
      </c>
      <c r="B2318" s="6" t="s">
        <v>5397</v>
      </c>
      <c r="C2318" s="6" t="s">
        <v>5392</v>
      </c>
      <c r="D2318" s="6" t="s">
        <v>5398</v>
      </c>
      <c r="E2318" s="6" t="s">
        <v>5399</v>
      </c>
      <c r="F2318" s="6" t="s">
        <v>611</v>
      </c>
      <c r="G2318" s="6"/>
      <c r="H2318" s="6"/>
      <c r="I2318" s="6"/>
      <c r="J2318" s="6" t="s">
        <v>19</v>
      </c>
      <c r="K2318" s="6"/>
    </row>
    <row r="2319" customFormat="false" ht="12.8" hidden="false" customHeight="false" outlineLevel="0" collapsed="false">
      <c r="A2319" s="8" t="str">
        <f aca="false">HYPERLINK("https://www.fabsurplus.com/sdi_catalog/salesItemDetails.do?id=100752")</f>
        <v>https://www.fabsurplus.com/sdi_catalog/salesItemDetails.do?id=100752</v>
      </c>
      <c r="B2319" s="8" t="s">
        <v>5400</v>
      </c>
      <c r="C2319" s="8" t="s">
        <v>5392</v>
      </c>
      <c r="D2319" s="8" t="s">
        <v>5401</v>
      </c>
      <c r="E2319" s="8" t="s">
        <v>5399</v>
      </c>
      <c r="F2319" s="8" t="s">
        <v>16</v>
      </c>
      <c r="G2319" s="8"/>
      <c r="H2319" s="8"/>
      <c r="I2319" s="8"/>
      <c r="J2319" s="8" t="s">
        <v>19</v>
      </c>
      <c r="K2319" s="8"/>
    </row>
    <row r="2320" customFormat="false" ht="12.8" hidden="false" customHeight="false" outlineLevel="0" collapsed="false">
      <c r="A2320" s="6" t="str">
        <f aca="false">HYPERLINK("https://www.fabsurplus.com/sdi_catalog/salesItemDetails.do?id=98368")</f>
        <v>https://www.fabsurplus.com/sdi_catalog/salesItemDetails.do?id=98368</v>
      </c>
      <c r="B2320" s="6" t="s">
        <v>5402</v>
      </c>
      <c r="C2320" s="6" t="s">
        <v>5403</v>
      </c>
      <c r="D2320" s="6" t="s">
        <v>5404</v>
      </c>
      <c r="E2320" s="6" t="s">
        <v>5405</v>
      </c>
      <c r="F2320" s="6" t="s">
        <v>16</v>
      </c>
      <c r="G2320" s="6" t="s">
        <v>310</v>
      </c>
      <c r="H2320" s="6"/>
      <c r="I2320" s="6"/>
      <c r="J2320" s="6" t="s">
        <v>81</v>
      </c>
      <c r="K2320" s="6"/>
    </row>
    <row r="2321" customFormat="false" ht="12.8" hidden="false" customHeight="false" outlineLevel="0" collapsed="false">
      <c r="A2321" s="8" t="str">
        <f aca="false">HYPERLINK("https://www.fabsurplus.com/sdi_catalog/salesItemDetails.do?id=96921")</f>
        <v>https://www.fabsurplus.com/sdi_catalog/salesItemDetails.do?id=96921</v>
      </c>
      <c r="B2321" s="8" t="s">
        <v>5406</v>
      </c>
      <c r="C2321" s="8" t="s">
        <v>5407</v>
      </c>
      <c r="D2321" s="8" t="s">
        <v>5408</v>
      </c>
      <c r="E2321" s="8" t="s">
        <v>5409</v>
      </c>
      <c r="F2321" s="8" t="s">
        <v>16</v>
      </c>
      <c r="G2321" s="8" t="s">
        <v>697</v>
      </c>
      <c r="H2321" s="8"/>
      <c r="I2321" s="9" t="n">
        <v>40695</v>
      </c>
      <c r="J2321" s="8" t="s">
        <v>19</v>
      </c>
      <c r="K2321" s="8"/>
    </row>
    <row r="2322" customFormat="false" ht="12.8" hidden="false" customHeight="false" outlineLevel="0" collapsed="false">
      <c r="A2322" s="6" t="str">
        <f aca="false">HYPERLINK("https://www.fabsurplus.com/sdi_catalog/salesItemDetails.do?id=98434")</f>
        <v>https://www.fabsurplus.com/sdi_catalog/salesItemDetails.do?id=98434</v>
      </c>
      <c r="B2322" s="6" t="s">
        <v>5410</v>
      </c>
      <c r="C2322" s="6" t="s">
        <v>5407</v>
      </c>
      <c r="D2322" s="6" t="s">
        <v>5411</v>
      </c>
      <c r="E2322" s="6" t="s">
        <v>5412</v>
      </c>
      <c r="F2322" s="6" t="s">
        <v>16</v>
      </c>
      <c r="G2322" s="6" t="s">
        <v>32</v>
      </c>
      <c r="H2322" s="6"/>
      <c r="I2322" s="6"/>
      <c r="J2322" s="6" t="s">
        <v>19</v>
      </c>
      <c r="K2322" s="6"/>
    </row>
    <row r="2323" customFormat="false" ht="12.8" hidden="false" customHeight="false" outlineLevel="0" collapsed="false">
      <c r="A2323" s="6" t="str">
        <f aca="false">HYPERLINK("https://www.fabsurplus.com/sdi_catalog/salesItemDetails.do?id=97879")</f>
        <v>https://www.fabsurplus.com/sdi_catalog/salesItemDetails.do?id=97879</v>
      </c>
      <c r="B2323" s="6" t="s">
        <v>5413</v>
      </c>
      <c r="C2323" s="6" t="s">
        <v>552</v>
      </c>
      <c r="D2323" s="6" t="s">
        <v>5414</v>
      </c>
      <c r="E2323" s="6" t="s">
        <v>5415</v>
      </c>
      <c r="F2323" s="6" t="s">
        <v>16</v>
      </c>
      <c r="G2323" s="6"/>
      <c r="H2323" s="6"/>
      <c r="I2323" s="6"/>
      <c r="J2323" s="6" t="s">
        <v>19</v>
      </c>
      <c r="K2323" s="6"/>
    </row>
    <row r="2324" customFormat="false" ht="12.8" hidden="false" customHeight="false" outlineLevel="0" collapsed="false">
      <c r="A2324" s="8" t="str">
        <f aca="false">HYPERLINK("https://www.fabsurplus.com/sdi_catalog/salesItemDetails.do?id=97880")</f>
        <v>https://www.fabsurplus.com/sdi_catalog/salesItemDetails.do?id=97880</v>
      </c>
      <c r="B2324" s="8" t="s">
        <v>5416</v>
      </c>
      <c r="C2324" s="8" t="s">
        <v>552</v>
      </c>
      <c r="D2324" s="8" t="s">
        <v>5417</v>
      </c>
      <c r="E2324" s="8" t="s">
        <v>5415</v>
      </c>
      <c r="F2324" s="8" t="s">
        <v>16</v>
      </c>
      <c r="G2324" s="8"/>
      <c r="H2324" s="8"/>
      <c r="I2324" s="8"/>
      <c r="J2324" s="8" t="s">
        <v>19</v>
      </c>
      <c r="K2324" s="8"/>
    </row>
    <row r="2325" customFormat="false" ht="12.8" hidden="false" customHeight="false" outlineLevel="0" collapsed="false">
      <c r="A2325" s="8" t="str">
        <f aca="false">HYPERLINK("https://www.fabsurplus.com/sdi_catalog/salesItemDetails.do?id=97882")</f>
        <v>https://www.fabsurplus.com/sdi_catalog/salesItemDetails.do?id=97882</v>
      </c>
      <c r="B2325" s="8" t="s">
        <v>5418</v>
      </c>
      <c r="C2325" s="8" t="s">
        <v>552</v>
      </c>
      <c r="D2325" s="8" t="s">
        <v>5419</v>
      </c>
      <c r="E2325" s="8" t="s">
        <v>5415</v>
      </c>
      <c r="F2325" s="8" t="s">
        <v>16</v>
      </c>
      <c r="G2325" s="8"/>
      <c r="H2325" s="8"/>
      <c r="I2325" s="8"/>
      <c r="J2325" s="8" t="s">
        <v>19</v>
      </c>
      <c r="K2325" s="8"/>
    </row>
    <row r="2326" customFormat="false" ht="12.8" hidden="false" customHeight="false" outlineLevel="0" collapsed="false">
      <c r="A2326" s="6" t="str">
        <f aca="false">HYPERLINK("https://www.fabsurplus.com/sdi_catalog/salesItemDetails.do?id=98040")</f>
        <v>https://www.fabsurplus.com/sdi_catalog/salesItemDetails.do?id=98040</v>
      </c>
      <c r="B2326" s="6" t="s">
        <v>5420</v>
      </c>
      <c r="C2326" s="6" t="s">
        <v>5421</v>
      </c>
      <c r="D2326" s="6" t="s">
        <v>5422</v>
      </c>
      <c r="E2326" s="6" t="s">
        <v>5415</v>
      </c>
      <c r="F2326" s="6" t="s">
        <v>16</v>
      </c>
      <c r="G2326" s="6"/>
      <c r="H2326" s="6"/>
      <c r="I2326" s="6"/>
      <c r="J2326" s="6" t="s">
        <v>19</v>
      </c>
      <c r="K2326" s="6"/>
    </row>
    <row r="2327" customFormat="false" ht="12.8" hidden="false" customHeight="false" outlineLevel="0" collapsed="false">
      <c r="A2327" s="6" t="str">
        <f aca="false">HYPERLINK("https://www.fabsurplus.com/sdi_catalog/salesItemDetails.do?id=97883")</f>
        <v>https://www.fabsurplus.com/sdi_catalog/salesItemDetails.do?id=97883</v>
      </c>
      <c r="B2327" s="6" t="s">
        <v>5423</v>
      </c>
      <c r="C2327" s="6" t="s">
        <v>552</v>
      </c>
      <c r="D2327" s="6" t="s">
        <v>5424</v>
      </c>
      <c r="E2327" s="6" t="s">
        <v>5415</v>
      </c>
      <c r="F2327" s="6" t="s">
        <v>16</v>
      </c>
      <c r="G2327" s="6"/>
      <c r="H2327" s="6"/>
      <c r="I2327" s="6"/>
      <c r="J2327" s="6" t="s">
        <v>19</v>
      </c>
      <c r="K2327" s="6"/>
    </row>
    <row r="2328" customFormat="false" ht="12.8" hidden="false" customHeight="false" outlineLevel="0" collapsed="false">
      <c r="A2328" s="8" t="str">
        <f aca="false">HYPERLINK("https://www.fabsurplus.com/sdi_catalog/salesItemDetails.do?id=97884")</f>
        <v>https://www.fabsurplus.com/sdi_catalog/salesItemDetails.do?id=97884</v>
      </c>
      <c r="B2328" s="8" t="s">
        <v>5425</v>
      </c>
      <c r="C2328" s="8" t="s">
        <v>552</v>
      </c>
      <c r="D2328" s="8" t="s">
        <v>5426</v>
      </c>
      <c r="E2328" s="8" t="s">
        <v>5415</v>
      </c>
      <c r="F2328" s="8" t="s">
        <v>16</v>
      </c>
      <c r="G2328" s="8"/>
      <c r="H2328" s="8"/>
      <c r="I2328" s="8"/>
      <c r="J2328" s="8" t="s">
        <v>19</v>
      </c>
      <c r="K2328" s="8"/>
    </row>
    <row r="2329" customFormat="false" ht="12.8" hidden="false" customHeight="false" outlineLevel="0" collapsed="false">
      <c r="A2329" s="6" t="str">
        <f aca="false">HYPERLINK("https://www.fabsurplus.com/sdi_catalog/salesItemDetails.do?id=97881")</f>
        <v>https://www.fabsurplus.com/sdi_catalog/salesItemDetails.do?id=97881</v>
      </c>
      <c r="B2329" s="6" t="s">
        <v>5427</v>
      </c>
      <c r="C2329" s="6" t="s">
        <v>552</v>
      </c>
      <c r="D2329" s="6" t="s">
        <v>5428</v>
      </c>
      <c r="E2329" s="6" t="s">
        <v>5415</v>
      </c>
      <c r="F2329" s="6" t="s">
        <v>16</v>
      </c>
      <c r="G2329" s="6"/>
      <c r="H2329" s="6"/>
      <c r="I2329" s="6"/>
      <c r="J2329" s="6" t="s">
        <v>19</v>
      </c>
      <c r="K2329" s="6"/>
    </row>
    <row r="2330" customFormat="false" ht="12.8" hidden="false" customHeight="false" outlineLevel="0" collapsed="false">
      <c r="A2330" s="8" t="str">
        <f aca="false">HYPERLINK("https://www.fabsurplus.com/sdi_catalog/salesItemDetails.do?id=97886")</f>
        <v>https://www.fabsurplus.com/sdi_catalog/salesItemDetails.do?id=97886</v>
      </c>
      <c r="B2330" s="8" t="s">
        <v>5429</v>
      </c>
      <c r="C2330" s="8" t="s">
        <v>552</v>
      </c>
      <c r="D2330" s="8" t="s">
        <v>5430</v>
      </c>
      <c r="E2330" s="8" t="s">
        <v>74</v>
      </c>
      <c r="F2330" s="8" t="s">
        <v>16</v>
      </c>
      <c r="G2330" s="8"/>
      <c r="H2330" s="8"/>
      <c r="I2330" s="8"/>
      <c r="J2330" s="8" t="s">
        <v>19</v>
      </c>
      <c r="K2330" s="8"/>
    </row>
    <row r="2331" customFormat="false" ht="12.8" hidden="false" customHeight="false" outlineLevel="0" collapsed="false">
      <c r="A2331" s="6" t="str">
        <f aca="false">HYPERLINK("https://www.fabsurplus.com/sdi_catalog/salesItemDetails.do?id=97885")</f>
        <v>https://www.fabsurplus.com/sdi_catalog/salesItemDetails.do?id=97885</v>
      </c>
      <c r="B2331" s="6" t="s">
        <v>5431</v>
      </c>
      <c r="C2331" s="6" t="s">
        <v>552</v>
      </c>
      <c r="D2331" s="6" t="s">
        <v>5430</v>
      </c>
      <c r="E2331" s="6" t="s">
        <v>74</v>
      </c>
      <c r="F2331" s="6" t="s">
        <v>16</v>
      </c>
      <c r="G2331" s="6"/>
      <c r="H2331" s="6"/>
      <c r="I2331" s="6"/>
      <c r="J2331" s="6" t="s">
        <v>19</v>
      </c>
      <c r="K2331" s="6"/>
    </row>
    <row r="2332" customFormat="false" ht="12.8" hidden="false" customHeight="false" outlineLevel="0" collapsed="false">
      <c r="A2332" s="6" t="str">
        <f aca="false">HYPERLINK("https://www.fabsurplus.com/sdi_catalog/salesItemDetails.do?id=98013")</f>
        <v>https://www.fabsurplus.com/sdi_catalog/salesItemDetails.do?id=98013</v>
      </c>
      <c r="B2332" s="6" t="s">
        <v>5432</v>
      </c>
      <c r="C2332" s="6" t="s">
        <v>5433</v>
      </c>
      <c r="D2332" s="6" t="s">
        <v>5434</v>
      </c>
      <c r="E2332" s="6" t="s">
        <v>1681</v>
      </c>
      <c r="F2332" s="6" t="s">
        <v>16</v>
      </c>
      <c r="G2332" s="6" t="s">
        <v>32</v>
      </c>
      <c r="H2332" s="6"/>
      <c r="I2332" s="6"/>
      <c r="J2332" s="6" t="s">
        <v>19</v>
      </c>
      <c r="K2332" s="6"/>
    </row>
    <row r="2333" customFormat="false" ht="12.8" hidden="false" customHeight="false" outlineLevel="0" collapsed="false">
      <c r="A2333" s="6" t="str">
        <f aca="false">HYPERLINK("https://www.fabsurplus.com/sdi_catalog/salesItemDetails.do?id=99042")</f>
        <v>https://www.fabsurplus.com/sdi_catalog/salesItemDetails.do?id=99042</v>
      </c>
      <c r="B2333" s="6" t="s">
        <v>5435</v>
      </c>
      <c r="C2333" s="6" t="s">
        <v>5436</v>
      </c>
      <c r="D2333" s="6" t="s">
        <v>5437</v>
      </c>
      <c r="E2333" s="6" t="s">
        <v>2292</v>
      </c>
      <c r="F2333" s="6" t="s">
        <v>16</v>
      </c>
      <c r="G2333" s="6" t="s">
        <v>310</v>
      </c>
      <c r="H2333" s="6"/>
      <c r="I2333" s="7" t="n">
        <v>38869</v>
      </c>
      <c r="J2333" s="6" t="s">
        <v>19</v>
      </c>
      <c r="K2333" s="6"/>
    </row>
    <row r="2334" customFormat="false" ht="12.8" hidden="false" customHeight="false" outlineLevel="0" collapsed="false">
      <c r="A2334" s="6" t="str">
        <f aca="false">HYPERLINK("https://www.fabsurplus.com/sdi_catalog/salesItemDetails.do?id=99041")</f>
        <v>https://www.fabsurplus.com/sdi_catalog/salesItemDetails.do?id=99041</v>
      </c>
      <c r="B2334" s="6" t="s">
        <v>5438</v>
      </c>
      <c r="C2334" s="6" t="s">
        <v>5436</v>
      </c>
      <c r="D2334" s="6" t="s">
        <v>5437</v>
      </c>
      <c r="E2334" s="6" t="s">
        <v>2292</v>
      </c>
      <c r="F2334" s="6" t="s">
        <v>16</v>
      </c>
      <c r="G2334" s="6" t="s">
        <v>310</v>
      </c>
      <c r="H2334" s="6"/>
      <c r="I2334" s="7" t="n">
        <v>38777</v>
      </c>
      <c r="J2334" s="6" t="s">
        <v>19</v>
      </c>
      <c r="K2334" s="6"/>
    </row>
    <row r="2335" customFormat="false" ht="12.8" hidden="false" customHeight="false" outlineLevel="0" collapsed="false">
      <c r="A2335" s="8" t="str">
        <f aca="false">HYPERLINK("https://www.fabsurplus.com/sdi_catalog/salesItemDetails.do?id=99040")</f>
        <v>https://www.fabsurplus.com/sdi_catalog/salesItemDetails.do?id=99040</v>
      </c>
      <c r="B2335" s="8" t="s">
        <v>5439</v>
      </c>
      <c r="C2335" s="8" t="s">
        <v>5436</v>
      </c>
      <c r="D2335" s="8" t="s">
        <v>5437</v>
      </c>
      <c r="E2335" s="8" t="s">
        <v>2292</v>
      </c>
      <c r="F2335" s="8" t="s">
        <v>16</v>
      </c>
      <c r="G2335" s="8" t="s">
        <v>310</v>
      </c>
      <c r="H2335" s="8"/>
      <c r="I2335" s="9" t="n">
        <v>39114</v>
      </c>
      <c r="J2335" s="8" t="s">
        <v>19</v>
      </c>
      <c r="K2335" s="8"/>
    </row>
    <row r="2336" customFormat="false" ht="12.8" hidden="false" customHeight="false" outlineLevel="0" collapsed="false">
      <c r="A2336" s="6" t="str">
        <f aca="false">HYPERLINK("https://www.fabsurplus.com/sdi_catalog/salesItemDetails.do?id=99039")</f>
        <v>https://www.fabsurplus.com/sdi_catalog/salesItemDetails.do?id=99039</v>
      </c>
      <c r="B2336" s="6" t="s">
        <v>5440</v>
      </c>
      <c r="C2336" s="6" t="s">
        <v>5436</v>
      </c>
      <c r="D2336" s="6" t="s">
        <v>5437</v>
      </c>
      <c r="E2336" s="6" t="s">
        <v>2292</v>
      </c>
      <c r="F2336" s="6" t="s">
        <v>16</v>
      </c>
      <c r="G2336" s="6" t="s">
        <v>310</v>
      </c>
      <c r="H2336" s="6"/>
      <c r="I2336" s="7" t="n">
        <v>37895</v>
      </c>
      <c r="J2336" s="6" t="s">
        <v>19</v>
      </c>
      <c r="K2336" s="6"/>
    </row>
    <row r="2337" customFormat="false" ht="12.8" hidden="false" customHeight="false" outlineLevel="0" collapsed="false">
      <c r="A2337" s="8" t="str">
        <f aca="false">HYPERLINK("https://www.fabsurplus.com/sdi_catalog/salesItemDetails.do?id=99038")</f>
        <v>https://www.fabsurplus.com/sdi_catalog/salesItemDetails.do?id=99038</v>
      </c>
      <c r="B2337" s="8" t="s">
        <v>5441</v>
      </c>
      <c r="C2337" s="8" t="s">
        <v>5436</v>
      </c>
      <c r="D2337" s="8" t="s">
        <v>5437</v>
      </c>
      <c r="E2337" s="8" t="s">
        <v>2292</v>
      </c>
      <c r="F2337" s="8" t="s">
        <v>16</v>
      </c>
      <c r="G2337" s="8" t="s">
        <v>310</v>
      </c>
      <c r="H2337" s="8"/>
      <c r="I2337" s="9" t="n">
        <v>37742</v>
      </c>
      <c r="J2337" s="8" t="s">
        <v>19</v>
      </c>
      <c r="K2337" s="8"/>
    </row>
    <row r="2338" customFormat="false" ht="12.8" hidden="false" customHeight="false" outlineLevel="0" collapsed="false">
      <c r="A2338" s="6" t="str">
        <f aca="false">HYPERLINK("https://www.fabsurplus.com/sdi_catalog/salesItemDetails.do?id=98839")</f>
        <v>https://www.fabsurplus.com/sdi_catalog/salesItemDetails.do?id=98839</v>
      </c>
      <c r="B2338" s="6" t="s">
        <v>5442</v>
      </c>
      <c r="C2338" s="6" t="s">
        <v>5436</v>
      </c>
      <c r="D2338" s="6" t="s">
        <v>5437</v>
      </c>
      <c r="E2338" s="6" t="s">
        <v>2292</v>
      </c>
      <c r="F2338" s="6" t="s">
        <v>16</v>
      </c>
      <c r="G2338" s="6" t="s">
        <v>310</v>
      </c>
      <c r="H2338" s="6"/>
      <c r="I2338" s="7" t="n">
        <v>37742</v>
      </c>
      <c r="J2338" s="6" t="s">
        <v>19</v>
      </c>
      <c r="K2338" s="6"/>
    </row>
    <row r="2339" customFormat="false" ht="12.8" hidden="false" customHeight="false" outlineLevel="0" collapsed="false">
      <c r="A2339" s="8" t="str">
        <f aca="false">HYPERLINK("https://www.fabsurplus.com/sdi_catalog/salesItemDetails.do?id=98904")</f>
        <v>https://www.fabsurplus.com/sdi_catalog/salesItemDetails.do?id=98904</v>
      </c>
      <c r="B2339" s="8" t="s">
        <v>5443</v>
      </c>
      <c r="C2339" s="8" t="s">
        <v>5436</v>
      </c>
      <c r="D2339" s="8" t="s">
        <v>5437</v>
      </c>
      <c r="E2339" s="8" t="s">
        <v>5444</v>
      </c>
      <c r="F2339" s="8" t="s">
        <v>16</v>
      </c>
      <c r="G2339" s="8" t="s">
        <v>310</v>
      </c>
      <c r="H2339" s="8"/>
      <c r="I2339" s="9" t="n">
        <v>38139</v>
      </c>
      <c r="J2339" s="8" t="s">
        <v>19</v>
      </c>
      <c r="K2339" s="8"/>
    </row>
    <row r="2340" customFormat="false" ht="12.8" hidden="false" customHeight="false" outlineLevel="0" collapsed="false">
      <c r="A2340" s="6" t="str">
        <f aca="false">HYPERLINK("https://www.fabsurplus.com/sdi_catalog/salesItemDetails.do?id=98903")</f>
        <v>https://www.fabsurplus.com/sdi_catalog/salesItemDetails.do?id=98903</v>
      </c>
      <c r="B2340" s="6" t="s">
        <v>5445</v>
      </c>
      <c r="C2340" s="6" t="s">
        <v>5436</v>
      </c>
      <c r="D2340" s="6" t="s">
        <v>5437</v>
      </c>
      <c r="E2340" s="6" t="s">
        <v>5444</v>
      </c>
      <c r="F2340" s="6" t="s">
        <v>16</v>
      </c>
      <c r="G2340" s="6" t="s">
        <v>310</v>
      </c>
      <c r="H2340" s="6"/>
      <c r="I2340" s="7" t="n">
        <v>39600</v>
      </c>
      <c r="J2340" s="6" t="s">
        <v>19</v>
      </c>
      <c r="K2340" s="6"/>
    </row>
    <row r="2341" customFormat="false" ht="12.8" hidden="false" customHeight="false" outlineLevel="0" collapsed="false">
      <c r="A2341" s="6" t="str">
        <f aca="false">HYPERLINK("https://www.fabsurplus.com/sdi_catalog/salesItemDetails.do?id=98177")</f>
        <v>https://www.fabsurplus.com/sdi_catalog/salesItemDetails.do?id=98177</v>
      </c>
      <c r="B2341" s="6" t="s">
        <v>5446</v>
      </c>
      <c r="C2341" s="6" t="s">
        <v>5436</v>
      </c>
      <c r="D2341" s="6" t="s">
        <v>5447</v>
      </c>
      <c r="E2341" s="6" t="s">
        <v>5448</v>
      </c>
      <c r="F2341" s="6" t="s">
        <v>16</v>
      </c>
      <c r="G2341" s="6" t="s">
        <v>32</v>
      </c>
      <c r="H2341" s="6"/>
      <c r="I2341" s="7" t="n">
        <v>36312</v>
      </c>
      <c r="J2341" s="6" t="s">
        <v>19</v>
      </c>
      <c r="K2341" s="6"/>
    </row>
    <row r="2342" customFormat="false" ht="12.8" hidden="false" customHeight="false" outlineLevel="0" collapsed="false">
      <c r="A2342" s="6" t="str">
        <f aca="false">HYPERLINK("https://www.fabsurplus.com/sdi_catalog/salesItemDetails.do?id=98176")</f>
        <v>https://www.fabsurplus.com/sdi_catalog/salesItemDetails.do?id=98176</v>
      </c>
      <c r="B2342" s="6" t="s">
        <v>5449</v>
      </c>
      <c r="C2342" s="6" t="s">
        <v>5436</v>
      </c>
      <c r="D2342" s="6" t="s">
        <v>5447</v>
      </c>
      <c r="E2342" s="6" t="s">
        <v>5448</v>
      </c>
      <c r="F2342" s="6" t="s">
        <v>16</v>
      </c>
      <c r="G2342" s="6" t="s">
        <v>32</v>
      </c>
      <c r="H2342" s="6"/>
      <c r="I2342" s="7" t="n">
        <v>36312</v>
      </c>
      <c r="J2342" s="6" t="s">
        <v>19</v>
      </c>
      <c r="K2342" s="6"/>
    </row>
    <row r="2343" customFormat="false" ht="12.8" hidden="false" customHeight="false" outlineLevel="0" collapsed="false">
      <c r="A2343" s="6" t="str">
        <f aca="false">HYPERLINK("https://www.fabsurplus.com/sdi_catalog/salesItemDetails.do?id=98175")</f>
        <v>https://www.fabsurplus.com/sdi_catalog/salesItemDetails.do?id=98175</v>
      </c>
      <c r="B2343" s="6" t="s">
        <v>5450</v>
      </c>
      <c r="C2343" s="6" t="s">
        <v>5436</v>
      </c>
      <c r="D2343" s="6" t="s">
        <v>5447</v>
      </c>
      <c r="E2343" s="6" t="s">
        <v>5448</v>
      </c>
      <c r="F2343" s="6" t="s">
        <v>16</v>
      </c>
      <c r="G2343" s="6" t="s">
        <v>32</v>
      </c>
      <c r="H2343" s="6"/>
      <c r="I2343" s="7" t="n">
        <v>36312</v>
      </c>
      <c r="J2343" s="6" t="s">
        <v>19</v>
      </c>
      <c r="K2343" s="6"/>
    </row>
    <row r="2344" customFormat="false" ht="12.8" hidden="false" customHeight="false" outlineLevel="0" collapsed="false">
      <c r="A2344" s="6" t="str">
        <f aca="false">HYPERLINK("https://www.fabsurplus.com/sdi_catalog/salesItemDetails.do?id=98174")</f>
        <v>https://www.fabsurplus.com/sdi_catalog/salesItemDetails.do?id=98174</v>
      </c>
      <c r="B2344" s="6" t="s">
        <v>5451</v>
      </c>
      <c r="C2344" s="6" t="s">
        <v>5436</v>
      </c>
      <c r="D2344" s="6" t="s">
        <v>5447</v>
      </c>
      <c r="E2344" s="6" t="s">
        <v>5448</v>
      </c>
      <c r="F2344" s="6" t="s">
        <v>16</v>
      </c>
      <c r="G2344" s="6" t="s">
        <v>32</v>
      </c>
      <c r="H2344" s="6"/>
      <c r="I2344" s="7" t="n">
        <v>36312</v>
      </c>
      <c r="J2344" s="6" t="s">
        <v>19</v>
      </c>
      <c r="K2344" s="6"/>
    </row>
    <row r="2345" customFormat="false" ht="12.8" hidden="false" customHeight="false" outlineLevel="0" collapsed="false">
      <c r="A2345" s="6" t="str">
        <f aca="false">HYPERLINK("https://www.fabsurplus.com/sdi_catalog/salesItemDetails.do?id=98173")</f>
        <v>https://www.fabsurplus.com/sdi_catalog/salesItemDetails.do?id=98173</v>
      </c>
      <c r="B2345" s="6" t="s">
        <v>5452</v>
      </c>
      <c r="C2345" s="6" t="s">
        <v>5436</v>
      </c>
      <c r="D2345" s="6" t="s">
        <v>5447</v>
      </c>
      <c r="E2345" s="6" t="s">
        <v>5448</v>
      </c>
      <c r="F2345" s="6" t="s">
        <v>16</v>
      </c>
      <c r="G2345" s="6" t="s">
        <v>32</v>
      </c>
      <c r="H2345" s="6"/>
      <c r="I2345" s="7" t="n">
        <v>36312</v>
      </c>
      <c r="J2345" s="6" t="s">
        <v>19</v>
      </c>
      <c r="K2345" s="6"/>
    </row>
    <row r="2346" customFormat="false" ht="12.8" hidden="false" customHeight="false" outlineLevel="0" collapsed="false">
      <c r="A2346" s="8" t="str">
        <f aca="false">HYPERLINK("https://www.fabsurplus.com/sdi_catalog/salesItemDetails.do?id=99043")</f>
        <v>https://www.fabsurplus.com/sdi_catalog/salesItemDetails.do?id=99043</v>
      </c>
      <c r="B2346" s="8" t="s">
        <v>5453</v>
      </c>
      <c r="C2346" s="8" t="s">
        <v>5436</v>
      </c>
      <c r="D2346" s="8" t="s">
        <v>5454</v>
      </c>
      <c r="E2346" s="8" t="s">
        <v>5355</v>
      </c>
      <c r="F2346" s="8" t="s">
        <v>16</v>
      </c>
      <c r="G2346" s="8"/>
      <c r="H2346" s="8"/>
      <c r="I2346" s="9" t="n">
        <v>38047</v>
      </c>
      <c r="J2346" s="8" t="s">
        <v>19</v>
      </c>
      <c r="K2346" s="8"/>
    </row>
    <row r="2347" customFormat="false" ht="12.8" hidden="false" customHeight="false" outlineLevel="0" collapsed="false">
      <c r="A2347" s="8" t="str">
        <f aca="false">HYPERLINK("https://www.fabsurplus.com/sdi_catalog/salesItemDetails.do?id=100009")</f>
        <v>https://www.fabsurplus.com/sdi_catalog/salesItemDetails.do?id=100009</v>
      </c>
      <c r="B2347" s="8" t="s">
        <v>5455</v>
      </c>
      <c r="C2347" s="8" t="s">
        <v>5436</v>
      </c>
      <c r="D2347" s="8" t="s">
        <v>5454</v>
      </c>
      <c r="E2347" s="8" t="s">
        <v>5456</v>
      </c>
      <c r="F2347" s="8" t="s">
        <v>16</v>
      </c>
      <c r="G2347" s="8" t="s">
        <v>697</v>
      </c>
      <c r="H2347" s="8"/>
      <c r="I2347" s="8"/>
      <c r="J2347" s="8" t="s">
        <v>19</v>
      </c>
      <c r="K2347" s="8"/>
    </row>
    <row r="2348" customFormat="false" ht="12.8" hidden="false" customHeight="false" outlineLevel="0" collapsed="false">
      <c r="A2348" s="6" t="str">
        <f aca="false">HYPERLINK("https://www.fabsurplus.com/sdi_catalog/salesItemDetails.do?id=99547")</f>
        <v>https://www.fabsurplus.com/sdi_catalog/salesItemDetails.do?id=99547</v>
      </c>
      <c r="B2348" s="6" t="s">
        <v>5457</v>
      </c>
      <c r="C2348" s="6" t="s">
        <v>568</v>
      </c>
      <c r="D2348" s="6" t="s">
        <v>5458</v>
      </c>
      <c r="E2348" s="6" t="s">
        <v>5459</v>
      </c>
      <c r="F2348" s="6" t="s">
        <v>16</v>
      </c>
      <c r="G2348" s="6" t="s">
        <v>310</v>
      </c>
      <c r="H2348" s="6" t="s">
        <v>18</v>
      </c>
      <c r="I2348" s="7" t="n">
        <v>37865</v>
      </c>
      <c r="J2348" s="6" t="s">
        <v>19</v>
      </c>
      <c r="K2348" s="6" t="s">
        <v>20</v>
      </c>
    </row>
    <row r="2349" customFormat="false" ht="12.8" hidden="false" customHeight="false" outlineLevel="0" collapsed="false">
      <c r="A2349" s="8" t="str">
        <f aca="false">HYPERLINK("https://www.fabsurplus.com/sdi_catalog/salesItemDetails.do?id=96986")</f>
        <v>https://www.fabsurplus.com/sdi_catalog/salesItemDetails.do?id=96986</v>
      </c>
      <c r="B2349" s="8" t="s">
        <v>5460</v>
      </c>
      <c r="C2349" s="8" t="s">
        <v>5436</v>
      </c>
      <c r="D2349" s="8" t="s">
        <v>5461</v>
      </c>
      <c r="E2349" s="8" t="s">
        <v>5462</v>
      </c>
      <c r="F2349" s="8" t="s">
        <v>16</v>
      </c>
      <c r="G2349" s="8" t="s">
        <v>32</v>
      </c>
      <c r="H2349" s="8"/>
      <c r="I2349" s="9" t="n">
        <v>35582</v>
      </c>
      <c r="J2349" s="8" t="s">
        <v>81</v>
      </c>
      <c r="K2349" s="8"/>
    </row>
    <row r="2350" customFormat="false" ht="12.8" hidden="false" customHeight="false" outlineLevel="0" collapsed="false">
      <c r="A2350" s="6" t="str">
        <f aca="false">HYPERLINK("https://www.fabsurplus.com/sdi_catalog/salesItemDetails.do?id=97458")</f>
        <v>https://www.fabsurplus.com/sdi_catalog/salesItemDetails.do?id=97458</v>
      </c>
      <c r="B2350" s="6" t="s">
        <v>5463</v>
      </c>
      <c r="C2350" s="6" t="s">
        <v>5436</v>
      </c>
      <c r="D2350" s="6" t="s">
        <v>5464</v>
      </c>
      <c r="E2350" s="6" t="s">
        <v>5465</v>
      </c>
      <c r="F2350" s="6" t="s">
        <v>16</v>
      </c>
      <c r="G2350" s="6" t="s">
        <v>310</v>
      </c>
      <c r="H2350" s="6"/>
      <c r="I2350" s="7" t="n">
        <v>38292</v>
      </c>
      <c r="J2350" s="6" t="s">
        <v>19</v>
      </c>
      <c r="K2350" s="6"/>
    </row>
    <row r="2351" customFormat="false" ht="12.8" hidden="false" customHeight="false" outlineLevel="0" collapsed="false">
      <c r="A2351" s="6" t="str">
        <f aca="false">HYPERLINK("https://www.fabsurplus.com/sdi_catalog/salesItemDetails.do?id=100249")</f>
        <v>https://www.fabsurplus.com/sdi_catalog/salesItemDetails.do?id=100249</v>
      </c>
      <c r="B2351" s="6" t="s">
        <v>5466</v>
      </c>
      <c r="C2351" s="6" t="s">
        <v>5436</v>
      </c>
      <c r="D2351" s="6" t="s">
        <v>5464</v>
      </c>
      <c r="E2351" s="6" t="s">
        <v>5467</v>
      </c>
      <c r="F2351" s="6" t="s">
        <v>16</v>
      </c>
      <c r="G2351" s="6" t="s">
        <v>686</v>
      </c>
      <c r="H2351" s="6" t="s">
        <v>18</v>
      </c>
      <c r="I2351" s="7" t="n">
        <v>37288</v>
      </c>
      <c r="J2351" s="6" t="s">
        <v>19</v>
      </c>
      <c r="K2351" s="6" t="s">
        <v>20</v>
      </c>
    </row>
    <row r="2352" customFormat="false" ht="12.8" hidden="false" customHeight="false" outlineLevel="0" collapsed="false">
      <c r="A2352" s="8" t="str">
        <f aca="false">HYPERLINK("https://www.fabsurplus.com/sdi_catalog/salesItemDetails.do?id=99870")</f>
        <v>https://www.fabsurplus.com/sdi_catalog/salesItemDetails.do?id=99870</v>
      </c>
      <c r="B2352" s="8" t="s">
        <v>5468</v>
      </c>
      <c r="C2352" s="8" t="s">
        <v>5436</v>
      </c>
      <c r="D2352" s="8" t="s">
        <v>5469</v>
      </c>
      <c r="E2352" s="8" t="s">
        <v>3265</v>
      </c>
      <c r="F2352" s="8" t="s">
        <v>626</v>
      </c>
      <c r="G2352" s="8"/>
      <c r="H2352" s="8" t="s">
        <v>33</v>
      </c>
      <c r="I2352" s="9" t="n">
        <v>35612</v>
      </c>
      <c r="J2352" s="8" t="s">
        <v>19</v>
      </c>
      <c r="K2352" s="8" t="s">
        <v>20</v>
      </c>
    </row>
    <row r="2353" customFormat="false" ht="12.8" hidden="false" customHeight="false" outlineLevel="0" collapsed="false">
      <c r="A2353" s="8" t="str">
        <f aca="false">HYPERLINK("https://www.fabsurplus.com/sdi_catalog/salesItemDetails.do?id=100010")</f>
        <v>https://www.fabsurplus.com/sdi_catalog/salesItemDetails.do?id=100010</v>
      </c>
      <c r="B2353" s="8" t="s">
        <v>5470</v>
      </c>
      <c r="C2353" s="8" t="s">
        <v>5436</v>
      </c>
      <c r="D2353" s="8" t="s">
        <v>5471</v>
      </c>
      <c r="E2353" s="8" t="s">
        <v>2292</v>
      </c>
      <c r="F2353" s="8" t="s">
        <v>16</v>
      </c>
      <c r="G2353" s="8" t="s">
        <v>697</v>
      </c>
      <c r="H2353" s="8"/>
      <c r="I2353" s="9" t="n">
        <v>35947</v>
      </c>
      <c r="J2353" s="8" t="s">
        <v>19</v>
      </c>
      <c r="K2353" s="8"/>
    </row>
    <row r="2354" customFormat="false" ht="12.8" hidden="false" customHeight="false" outlineLevel="0" collapsed="false">
      <c r="A2354" s="6" t="str">
        <f aca="false">HYPERLINK("https://www.fabsurplus.com/sdi_catalog/salesItemDetails.do?id=100240")</f>
        <v>https://www.fabsurplus.com/sdi_catalog/salesItemDetails.do?id=100240</v>
      </c>
      <c r="B2354" s="6" t="s">
        <v>5472</v>
      </c>
      <c r="C2354" s="6" t="s">
        <v>5436</v>
      </c>
      <c r="D2354" s="6" t="s">
        <v>5473</v>
      </c>
      <c r="E2354" s="6" t="s">
        <v>2006</v>
      </c>
      <c r="F2354" s="6" t="s">
        <v>16</v>
      </c>
      <c r="G2354" s="6" t="s">
        <v>686</v>
      </c>
      <c r="H2354" s="6"/>
      <c r="I2354" s="6"/>
      <c r="J2354" s="6" t="s">
        <v>19</v>
      </c>
      <c r="K2354" s="6"/>
    </row>
    <row r="2355" customFormat="false" ht="12.8" hidden="false" customHeight="false" outlineLevel="0" collapsed="false">
      <c r="A2355" s="6" t="str">
        <f aca="false">HYPERLINK("https://www.fabsurplus.com/sdi_catalog/salesItemDetails.do?id=97763")</f>
        <v>https://www.fabsurplus.com/sdi_catalog/salesItemDetails.do?id=97763</v>
      </c>
      <c r="B2355" s="6" t="s">
        <v>5474</v>
      </c>
      <c r="C2355" s="6" t="s">
        <v>5436</v>
      </c>
      <c r="D2355" s="6" t="s">
        <v>5473</v>
      </c>
      <c r="E2355" s="6" t="s">
        <v>2006</v>
      </c>
      <c r="F2355" s="6" t="s">
        <v>16</v>
      </c>
      <c r="G2355" s="6" t="s">
        <v>310</v>
      </c>
      <c r="H2355" s="6"/>
      <c r="I2355" s="6"/>
      <c r="J2355" s="6" t="s">
        <v>19</v>
      </c>
      <c r="K2355" s="6"/>
    </row>
    <row r="2356" customFormat="false" ht="12.8" hidden="false" customHeight="false" outlineLevel="0" collapsed="false">
      <c r="A2356" s="8" t="str">
        <f aca="false">HYPERLINK("https://www.fabsurplus.com/sdi_catalog/salesItemDetails.do?id=97762")</f>
        <v>https://www.fabsurplus.com/sdi_catalog/salesItemDetails.do?id=97762</v>
      </c>
      <c r="B2356" s="8" t="s">
        <v>5475</v>
      </c>
      <c r="C2356" s="8" t="s">
        <v>5436</v>
      </c>
      <c r="D2356" s="8" t="s">
        <v>5473</v>
      </c>
      <c r="E2356" s="8" t="s">
        <v>2006</v>
      </c>
      <c r="F2356" s="8" t="s">
        <v>16</v>
      </c>
      <c r="G2356" s="8" t="s">
        <v>310</v>
      </c>
      <c r="H2356" s="8"/>
      <c r="I2356" s="8"/>
      <c r="J2356" s="8" t="s">
        <v>19</v>
      </c>
      <c r="K2356" s="8"/>
    </row>
    <row r="2357" customFormat="false" ht="12.8" hidden="false" customHeight="false" outlineLevel="0" collapsed="false">
      <c r="A2357" s="8" t="str">
        <f aca="false">HYPERLINK("https://www.fabsurplus.com/sdi_catalog/salesItemDetails.do?id=100243")</f>
        <v>https://www.fabsurplus.com/sdi_catalog/salesItemDetails.do?id=100243</v>
      </c>
      <c r="B2357" s="8" t="s">
        <v>5476</v>
      </c>
      <c r="C2357" s="8" t="s">
        <v>5436</v>
      </c>
      <c r="D2357" s="8" t="s">
        <v>5477</v>
      </c>
      <c r="E2357" s="8" t="s">
        <v>5478</v>
      </c>
      <c r="F2357" s="8" t="s">
        <v>16</v>
      </c>
      <c r="G2357" s="8" t="s">
        <v>686</v>
      </c>
      <c r="H2357" s="8"/>
      <c r="I2357" s="9" t="n">
        <v>41791</v>
      </c>
      <c r="J2357" s="8" t="s">
        <v>19</v>
      </c>
      <c r="K2357" s="8"/>
    </row>
    <row r="2358" customFormat="false" ht="12.8" hidden="false" customHeight="false" outlineLevel="0" collapsed="false">
      <c r="A2358" s="8" t="str">
        <f aca="false">HYPERLINK("https://www.fabsurplus.com/sdi_catalog/salesItemDetails.do?id=100242")</f>
        <v>https://www.fabsurplus.com/sdi_catalog/salesItemDetails.do?id=100242</v>
      </c>
      <c r="B2358" s="8" t="s">
        <v>5479</v>
      </c>
      <c r="C2358" s="8" t="s">
        <v>5436</v>
      </c>
      <c r="D2358" s="8" t="s">
        <v>5477</v>
      </c>
      <c r="E2358" s="8" t="s">
        <v>5478</v>
      </c>
      <c r="F2358" s="8" t="s">
        <v>16</v>
      </c>
      <c r="G2358" s="8" t="s">
        <v>686</v>
      </c>
      <c r="H2358" s="8"/>
      <c r="I2358" s="9" t="n">
        <v>41791</v>
      </c>
      <c r="J2358" s="8" t="s">
        <v>19</v>
      </c>
      <c r="K2358" s="8"/>
    </row>
    <row r="2359" customFormat="false" ht="12.8" hidden="false" customHeight="false" outlineLevel="0" collapsed="false">
      <c r="A2359" s="6" t="str">
        <f aca="false">HYPERLINK("https://www.fabsurplus.com/sdi_catalog/salesItemDetails.do?id=100241")</f>
        <v>https://www.fabsurplus.com/sdi_catalog/salesItemDetails.do?id=100241</v>
      </c>
      <c r="B2359" s="6" t="s">
        <v>5480</v>
      </c>
      <c r="C2359" s="6" t="s">
        <v>5436</v>
      </c>
      <c r="D2359" s="6" t="s">
        <v>5477</v>
      </c>
      <c r="E2359" s="6" t="s">
        <v>5478</v>
      </c>
      <c r="F2359" s="6" t="s">
        <v>16</v>
      </c>
      <c r="G2359" s="6" t="s">
        <v>686</v>
      </c>
      <c r="H2359" s="6"/>
      <c r="I2359" s="7" t="n">
        <v>37773</v>
      </c>
      <c r="J2359" s="6" t="s">
        <v>19</v>
      </c>
      <c r="K2359" s="6"/>
    </row>
    <row r="2360" customFormat="false" ht="12.8" hidden="false" customHeight="false" outlineLevel="0" collapsed="false">
      <c r="A2360" s="8" t="str">
        <f aca="false">HYPERLINK("https://www.fabsurplus.com/sdi_catalog/salesItemDetails.do?id=100248")</f>
        <v>https://www.fabsurplus.com/sdi_catalog/salesItemDetails.do?id=100248</v>
      </c>
      <c r="B2360" s="8" t="s">
        <v>5481</v>
      </c>
      <c r="C2360" s="8" t="s">
        <v>5436</v>
      </c>
      <c r="D2360" s="8" t="s">
        <v>5482</v>
      </c>
      <c r="E2360" s="8" t="s">
        <v>5483</v>
      </c>
      <c r="F2360" s="8" t="s">
        <v>16</v>
      </c>
      <c r="G2360" s="8" t="s">
        <v>686</v>
      </c>
      <c r="H2360" s="8"/>
      <c r="I2360" s="8"/>
      <c r="J2360" s="8" t="s">
        <v>19</v>
      </c>
      <c r="K2360" s="8"/>
    </row>
    <row r="2361" customFormat="false" ht="12.8" hidden="false" customHeight="false" outlineLevel="0" collapsed="false">
      <c r="A2361" s="6" t="str">
        <f aca="false">HYPERLINK("https://www.fabsurplus.com/sdi_catalog/salesItemDetails.do?id=100247")</f>
        <v>https://www.fabsurplus.com/sdi_catalog/salesItemDetails.do?id=100247</v>
      </c>
      <c r="B2361" s="6" t="s">
        <v>5484</v>
      </c>
      <c r="C2361" s="6" t="s">
        <v>5436</v>
      </c>
      <c r="D2361" s="6" t="s">
        <v>5482</v>
      </c>
      <c r="E2361" s="6" t="s">
        <v>5483</v>
      </c>
      <c r="F2361" s="6" t="s">
        <v>16</v>
      </c>
      <c r="G2361" s="6" t="s">
        <v>686</v>
      </c>
      <c r="H2361" s="6"/>
      <c r="I2361" s="7" t="n">
        <v>39965</v>
      </c>
      <c r="J2361" s="6" t="s">
        <v>19</v>
      </c>
      <c r="K2361" s="6"/>
    </row>
    <row r="2362" customFormat="false" ht="12.8" hidden="false" customHeight="false" outlineLevel="0" collapsed="false">
      <c r="A2362" s="8" t="str">
        <f aca="false">HYPERLINK("https://www.fabsurplus.com/sdi_catalog/salesItemDetails.do?id=100246")</f>
        <v>https://www.fabsurplus.com/sdi_catalog/salesItemDetails.do?id=100246</v>
      </c>
      <c r="B2362" s="8" t="s">
        <v>5485</v>
      </c>
      <c r="C2362" s="8" t="s">
        <v>5436</v>
      </c>
      <c r="D2362" s="8" t="s">
        <v>5482</v>
      </c>
      <c r="E2362" s="8" t="s">
        <v>5483</v>
      </c>
      <c r="F2362" s="8" t="s">
        <v>16</v>
      </c>
      <c r="G2362" s="8" t="s">
        <v>686</v>
      </c>
      <c r="H2362" s="8"/>
      <c r="I2362" s="9" t="n">
        <v>40330</v>
      </c>
      <c r="J2362" s="8" t="s">
        <v>19</v>
      </c>
      <c r="K2362" s="8"/>
    </row>
    <row r="2363" customFormat="false" ht="12.8" hidden="false" customHeight="false" outlineLevel="0" collapsed="false">
      <c r="A2363" s="8" t="str">
        <f aca="false">HYPERLINK("https://www.fabsurplus.com/sdi_catalog/salesItemDetails.do?id=100245")</f>
        <v>https://www.fabsurplus.com/sdi_catalog/salesItemDetails.do?id=100245</v>
      </c>
      <c r="B2363" s="8" t="s">
        <v>5486</v>
      </c>
      <c r="C2363" s="8" t="s">
        <v>5436</v>
      </c>
      <c r="D2363" s="8" t="s">
        <v>5482</v>
      </c>
      <c r="E2363" s="8" t="s">
        <v>5483</v>
      </c>
      <c r="F2363" s="8" t="s">
        <v>16</v>
      </c>
      <c r="G2363" s="8" t="s">
        <v>686</v>
      </c>
      <c r="H2363" s="8"/>
      <c r="I2363" s="9" t="n">
        <v>40330</v>
      </c>
      <c r="J2363" s="8" t="s">
        <v>19</v>
      </c>
      <c r="K2363" s="8"/>
    </row>
    <row r="2364" customFormat="false" ht="12.8" hidden="false" customHeight="false" outlineLevel="0" collapsed="false">
      <c r="A2364" s="8" t="str">
        <f aca="false">HYPERLINK("https://www.fabsurplus.com/sdi_catalog/salesItemDetails.do?id=100244")</f>
        <v>https://www.fabsurplus.com/sdi_catalog/salesItemDetails.do?id=100244</v>
      </c>
      <c r="B2364" s="8" t="s">
        <v>5487</v>
      </c>
      <c r="C2364" s="8" t="s">
        <v>5436</v>
      </c>
      <c r="D2364" s="8" t="s">
        <v>5482</v>
      </c>
      <c r="E2364" s="8" t="s">
        <v>5483</v>
      </c>
      <c r="F2364" s="8" t="s">
        <v>16</v>
      </c>
      <c r="G2364" s="8" t="s">
        <v>686</v>
      </c>
      <c r="H2364" s="8"/>
      <c r="I2364" s="9" t="n">
        <v>38139</v>
      </c>
      <c r="J2364" s="8" t="s">
        <v>19</v>
      </c>
      <c r="K2364" s="8"/>
    </row>
    <row r="2365" customFormat="false" ht="12.8" hidden="false" customHeight="false" outlineLevel="0" collapsed="false">
      <c r="A2365" s="6" t="str">
        <f aca="false">HYPERLINK("https://www.fabsurplus.com/sdi_catalog/salesItemDetails.do?id=97828")</f>
        <v>https://www.fabsurplus.com/sdi_catalog/salesItemDetails.do?id=97828</v>
      </c>
      <c r="B2365" s="6" t="s">
        <v>5488</v>
      </c>
      <c r="C2365" s="6" t="s">
        <v>5436</v>
      </c>
      <c r="D2365" s="6" t="s">
        <v>5482</v>
      </c>
      <c r="E2365" s="6" t="s">
        <v>5483</v>
      </c>
      <c r="F2365" s="6" t="s">
        <v>16</v>
      </c>
      <c r="G2365" s="6" t="s">
        <v>310</v>
      </c>
      <c r="H2365" s="6"/>
      <c r="I2365" s="7" t="n">
        <v>37773</v>
      </c>
      <c r="J2365" s="6" t="s">
        <v>19</v>
      </c>
      <c r="K2365" s="6"/>
    </row>
    <row r="2366" customFormat="false" ht="12.8" hidden="false" customHeight="false" outlineLevel="0" collapsed="false">
      <c r="A2366" s="8" t="str">
        <f aca="false">HYPERLINK("https://www.fabsurplus.com/sdi_catalog/salesItemDetails.do?id=97827")</f>
        <v>https://www.fabsurplus.com/sdi_catalog/salesItemDetails.do?id=97827</v>
      </c>
      <c r="B2366" s="8" t="s">
        <v>5489</v>
      </c>
      <c r="C2366" s="8" t="s">
        <v>5436</v>
      </c>
      <c r="D2366" s="8" t="s">
        <v>5482</v>
      </c>
      <c r="E2366" s="8" t="s">
        <v>5483</v>
      </c>
      <c r="F2366" s="8" t="s">
        <v>16</v>
      </c>
      <c r="G2366" s="8" t="s">
        <v>310</v>
      </c>
      <c r="H2366" s="8"/>
      <c r="I2366" s="9" t="n">
        <v>38139</v>
      </c>
      <c r="J2366" s="8" t="s">
        <v>19</v>
      </c>
      <c r="K2366" s="8"/>
    </row>
    <row r="2367" customFormat="false" ht="12.8" hidden="false" customHeight="false" outlineLevel="0" collapsed="false">
      <c r="A2367" s="6" t="str">
        <f aca="false">HYPERLINK("https://www.fabsurplus.com/sdi_catalog/salesItemDetails.do?id=98178")</f>
        <v>https://www.fabsurplus.com/sdi_catalog/salesItemDetails.do?id=98178</v>
      </c>
      <c r="B2367" s="6" t="s">
        <v>5490</v>
      </c>
      <c r="C2367" s="6" t="s">
        <v>5436</v>
      </c>
      <c r="D2367" s="6" t="s">
        <v>5491</v>
      </c>
      <c r="E2367" s="6" t="s">
        <v>5492</v>
      </c>
      <c r="F2367" s="6" t="s">
        <v>16</v>
      </c>
      <c r="G2367" s="6" t="s">
        <v>310</v>
      </c>
      <c r="H2367" s="6"/>
      <c r="I2367" s="7" t="n">
        <v>38504</v>
      </c>
      <c r="J2367" s="6" t="s">
        <v>19</v>
      </c>
      <c r="K2367" s="6"/>
    </row>
    <row r="2368" customFormat="false" ht="12.8" hidden="false" customHeight="false" outlineLevel="0" collapsed="false">
      <c r="A2368" s="6" t="str">
        <f aca="false">HYPERLINK("https://www.fabsurplus.com/sdi_catalog/salesItemDetails.do?id=98179")</f>
        <v>https://www.fabsurplus.com/sdi_catalog/salesItemDetails.do?id=98179</v>
      </c>
      <c r="B2368" s="6" t="s">
        <v>5493</v>
      </c>
      <c r="C2368" s="6" t="s">
        <v>5436</v>
      </c>
      <c r="D2368" s="6" t="s">
        <v>5491</v>
      </c>
      <c r="E2368" s="6" t="s">
        <v>5494</v>
      </c>
      <c r="F2368" s="6" t="s">
        <v>16</v>
      </c>
      <c r="G2368" s="6" t="s">
        <v>310</v>
      </c>
      <c r="H2368" s="6"/>
      <c r="I2368" s="7" t="n">
        <v>38869</v>
      </c>
      <c r="J2368" s="6" t="s">
        <v>19</v>
      </c>
      <c r="K2368" s="6"/>
    </row>
    <row r="2369" customFormat="false" ht="12.8" hidden="false" customHeight="false" outlineLevel="0" collapsed="false">
      <c r="A2369" s="8" t="str">
        <f aca="false">HYPERLINK("https://www.fabsurplus.com/sdi_catalog/salesItemDetails.do?id=98180")</f>
        <v>https://www.fabsurplus.com/sdi_catalog/salesItemDetails.do?id=98180</v>
      </c>
      <c r="B2369" s="8" t="s">
        <v>5495</v>
      </c>
      <c r="C2369" s="8" t="s">
        <v>5436</v>
      </c>
      <c r="D2369" s="8" t="s">
        <v>5491</v>
      </c>
      <c r="E2369" s="8" t="s">
        <v>5496</v>
      </c>
      <c r="F2369" s="8" t="s">
        <v>16</v>
      </c>
      <c r="G2369" s="8" t="s">
        <v>310</v>
      </c>
      <c r="H2369" s="8"/>
      <c r="I2369" s="9" t="n">
        <v>38869</v>
      </c>
      <c r="J2369" s="8" t="s">
        <v>19</v>
      </c>
      <c r="K2369" s="8"/>
    </row>
    <row r="2370" customFormat="false" ht="12.8" hidden="false" customHeight="false" outlineLevel="0" collapsed="false">
      <c r="A2370" s="8" t="str">
        <f aca="false">HYPERLINK("https://www.fabsurplus.com/sdi_catalog/salesItemDetails.do?id=98181")</f>
        <v>https://www.fabsurplus.com/sdi_catalog/salesItemDetails.do?id=98181</v>
      </c>
      <c r="B2370" s="8" t="s">
        <v>5497</v>
      </c>
      <c r="C2370" s="8" t="s">
        <v>5436</v>
      </c>
      <c r="D2370" s="8" t="s">
        <v>5491</v>
      </c>
      <c r="E2370" s="8" t="s">
        <v>5498</v>
      </c>
      <c r="F2370" s="8" t="s">
        <v>16</v>
      </c>
      <c r="G2370" s="8" t="s">
        <v>310</v>
      </c>
      <c r="H2370" s="8"/>
      <c r="I2370" s="9" t="n">
        <v>38869</v>
      </c>
      <c r="J2370" s="8" t="s">
        <v>19</v>
      </c>
      <c r="K2370" s="8"/>
    </row>
    <row r="2371" customFormat="false" ht="12.8" hidden="false" customHeight="false" outlineLevel="0" collapsed="false">
      <c r="A2371" s="6" t="str">
        <f aca="false">HYPERLINK("https://www.fabsurplus.com/sdi_catalog/salesItemDetails.do?id=97768")</f>
        <v>https://www.fabsurplus.com/sdi_catalog/salesItemDetails.do?id=97768</v>
      </c>
      <c r="B2371" s="6" t="s">
        <v>5499</v>
      </c>
      <c r="C2371" s="6" t="s">
        <v>5436</v>
      </c>
      <c r="D2371" s="6" t="s">
        <v>5500</v>
      </c>
      <c r="E2371" s="6" t="s">
        <v>2561</v>
      </c>
      <c r="F2371" s="6" t="s">
        <v>16</v>
      </c>
      <c r="G2371" s="6" t="s">
        <v>310</v>
      </c>
      <c r="H2371" s="6"/>
      <c r="I2371" s="6"/>
      <c r="J2371" s="6" t="s">
        <v>19</v>
      </c>
      <c r="K2371" s="6"/>
    </row>
    <row r="2372" customFormat="false" ht="12.8" hidden="false" customHeight="false" outlineLevel="0" collapsed="false">
      <c r="A2372" s="6" t="str">
        <f aca="false">HYPERLINK("https://www.fabsurplus.com/sdi_catalog/salesItemDetails.do?id=97773")</f>
        <v>https://www.fabsurplus.com/sdi_catalog/salesItemDetails.do?id=97773</v>
      </c>
      <c r="B2372" s="6" t="s">
        <v>5501</v>
      </c>
      <c r="C2372" s="6" t="s">
        <v>5436</v>
      </c>
      <c r="D2372" s="6" t="s">
        <v>5502</v>
      </c>
      <c r="E2372" s="6" t="s">
        <v>2515</v>
      </c>
      <c r="F2372" s="6" t="s">
        <v>16</v>
      </c>
      <c r="G2372" s="6" t="s">
        <v>310</v>
      </c>
      <c r="H2372" s="6"/>
      <c r="I2372" s="6"/>
      <c r="J2372" s="6" t="s">
        <v>19</v>
      </c>
      <c r="K2372" s="6"/>
    </row>
    <row r="2373" customFormat="false" ht="12.8" hidden="false" customHeight="false" outlineLevel="0" collapsed="false">
      <c r="A2373" s="6" t="str">
        <f aca="false">HYPERLINK("https://www.fabsurplus.com/sdi_catalog/salesItemDetails.do?id=100839")</f>
        <v>https://www.fabsurplus.com/sdi_catalog/salesItemDetails.do?id=100839</v>
      </c>
      <c r="B2373" s="6" t="s">
        <v>5503</v>
      </c>
      <c r="C2373" s="6" t="s">
        <v>5436</v>
      </c>
      <c r="D2373" s="6" t="s">
        <v>5504</v>
      </c>
      <c r="E2373" s="6" t="s">
        <v>2515</v>
      </c>
      <c r="F2373" s="6" t="s">
        <v>16</v>
      </c>
      <c r="G2373" s="6" t="s">
        <v>310</v>
      </c>
      <c r="H2373" s="6"/>
      <c r="I2373" s="7" t="n">
        <v>39234</v>
      </c>
      <c r="J2373" s="6" t="s">
        <v>81</v>
      </c>
      <c r="K2373" s="6"/>
    </row>
    <row r="2374" customFormat="false" ht="12.8" hidden="false" customHeight="false" outlineLevel="0" collapsed="false">
      <c r="A2374" s="8" t="str">
        <f aca="false">HYPERLINK("https://www.fabsurplus.com/sdi_catalog/salesItemDetails.do?id=100838")</f>
        <v>https://www.fabsurplus.com/sdi_catalog/salesItemDetails.do?id=100838</v>
      </c>
      <c r="B2374" s="8" t="s">
        <v>5505</v>
      </c>
      <c r="C2374" s="8" t="s">
        <v>5436</v>
      </c>
      <c r="D2374" s="8" t="s">
        <v>5504</v>
      </c>
      <c r="E2374" s="8" t="s">
        <v>2515</v>
      </c>
      <c r="F2374" s="8" t="s">
        <v>16</v>
      </c>
      <c r="G2374" s="8" t="s">
        <v>310</v>
      </c>
      <c r="H2374" s="8"/>
      <c r="I2374" s="9" t="n">
        <v>39234</v>
      </c>
      <c r="J2374" s="8" t="s">
        <v>81</v>
      </c>
      <c r="K2374" s="8"/>
    </row>
    <row r="2375" customFormat="false" ht="12.8" hidden="false" customHeight="false" outlineLevel="0" collapsed="false">
      <c r="A2375" s="6" t="str">
        <f aca="false">HYPERLINK("https://www.fabsurplus.com/sdi_catalog/salesItemDetails.do?id=97781")</f>
        <v>https://www.fabsurplus.com/sdi_catalog/salesItemDetails.do?id=97781</v>
      </c>
      <c r="B2375" s="6" t="s">
        <v>5506</v>
      </c>
      <c r="C2375" s="6" t="s">
        <v>5436</v>
      </c>
      <c r="D2375" s="6" t="s">
        <v>5507</v>
      </c>
      <c r="E2375" s="6" t="s">
        <v>2006</v>
      </c>
      <c r="F2375" s="6" t="s">
        <v>16</v>
      </c>
      <c r="G2375" s="6" t="s">
        <v>310</v>
      </c>
      <c r="H2375" s="6"/>
      <c r="I2375" s="6"/>
      <c r="J2375" s="6" t="s">
        <v>19</v>
      </c>
      <c r="K2375" s="6"/>
    </row>
    <row r="2376" customFormat="false" ht="12.8" hidden="false" customHeight="false" outlineLevel="0" collapsed="false">
      <c r="A2376" s="8" t="str">
        <f aca="false">HYPERLINK("https://www.fabsurplus.com/sdi_catalog/salesItemDetails.do?id=97780")</f>
        <v>https://www.fabsurplus.com/sdi_catalog/salesItemDetails.do?id=97780</v>
      </c>
      <c r="B2376" s="8" t="s">
        <v>5508</v>
      </c>
      <c r="C2376" s="8" t="s">
        <v>5436</v>
      </c>
      <c r="D2376" s="8" t="s">
        <v>5507</v>
      </c>
      <c r="E2376" s="8" t="s">
        <v>2006</v>
      </c>
      <c r="F2376" s="8" t="s">
        <v>16</v>
      </c>
      <c r="G2376" s="8" t="s">
        <v>310</v>
      </c>
      <c r="H2376" s="8"/>
      <c r="I2376" s="8"/>
      <c r="J2376" s="8" t="s">
        <v>19</v>
      </c>
      <c r="K2376" s="8"/>
    </row>
    <row r="2377" customFormat="false" ht="12.8" hidden="false" customHeight="false" outlineLevel="0" collapsed="false">
      <c r="A2377" s="8" t="str">
        <f aca="false">HYPERLINK("https://www.fabsurplus.com/sdi_catalog/salesItemDetails.do?id=97778")</f>
        <v>https://www.fabsurplus.com/sdi_catalog/salesItemDetails.do?id=97778</v>
      </c>
      <c r="B2377" s="8" t="s">
        <v>5509</v>
      </c>
      <c r="C2377" s="8" t="s">
        <v>5436</v>
      </c>
      <c r="D2377" s="8" t="s">
        <v>5507</v>
      </c>
      <c r="E2377" s="8" t="s">
        <v>2006</v>
      </c>
      <c r="F2377" s="8" t="s">
        <v>16</v>
      </c>
      <c r="G2377" s="8" t="s">
        <v>310</v>
      </c>
      <c r="H2377" s="8"/>
      <c r="I2377" s="8"/>
      <c r="J2377" s="8" t="s">
        <v>19</v>
      </c>
      <c r="K2377" s="8"/>
    </row>
    <row r="2378" customFormat="false" ht="12.8" hidden="false" customHeight="false" outlineLevel="0" collapsed="false">
      <c r="A2378" s="8" t="str">
        <f aca="false">HYPERLINK("https://www.fabsurplus.com/sdi_catalog/salesItemDetails.do?id=98301")</f>
        <v>https://www.fabsurplus.com/sdi_catalog/salesItemDetails.do?id=98301</v>
      </c>
      <c r="B2378" s="8" t="s">
        <v>5510</v>
      </c>
      <c r="C2378" s="8" t="s">
        <v>5436</v>
      </c>
      <c r="D2378" s="8" t="s">
        <v>5507</v>
      </c>
      <c r="E2378" s="8" t="s">
        <v>1836</v>
      </c>
      <c r="F2378" s="8" t="s">
        <v>16</v>
      </c>
      <c r="G2378" s="8" t="s">
        <v>310</v>
      </c>
      <c r="H2378" s="8"/>
      <c r="I2378" s="8"/>
      <c r="J2378" s="8" t="s">
        <v>19</v>
      </c>
      <c r="K2378" s="8"/>
    </row>
    <row r="2379" customFormat="false" ht="12.8" hidden="false" customHeight="false" outlineLevel="0" collapsed="false">
      <c r="A2379" s="6" t="str">
        <f aca="false">HYPERLINK("https://www.fabsurplus.com/sdi_catalog/salesItemDetails.do?id=98300")</f>
        <v>https://www.fabsurplus.com/sdi_catalog/salesItemDetails.do?id=98300</v>
      </c>
      <c r="B2379" s="6" t="s">
        <v>5511</v>
      </c>
      <c r="C2379" s="6" t="s">
        <v>5436</v>
      </c>
      <c r="D2379" s="6" t="s">
        <v>5507</v>
      </c>
      <c r="E2379" s="6" t="s">
        <v>1836</v>
      </c>
      <c r="F2379" s="6" t="s">
        <v>16</v>
      </c>
      <c r="G2379" s="6" t="s">
        <v>310</v>
      </c>
      <c r="H2379" s="6"/>
      <c r="I2379" s="6"/>
      <c r="J2379" s="6" t="s">
        <v>19</v>
      </c>
      <c r="K2379" s="6"/>
    </row>
    <row r="2380" customFormat="false" ht="12.8" hidden="false" customHeight="false" outlineLevel="0" collapsed="false">
      <c r="A2380" s="6" t="str">
        <f aca="false">HYPERLINK("https://www.fabsurplus.com/sdi_catalog/salesItemDetails.do?id=98299")</f>
        <v>https://www.fabsurplus.com/sdi_catalog/salesItemDetails.do?id=98299</v>
      </c>
      <c r="B2380" s="6" t="s">
        <v>5512</v>
      </c>
      <c r="C2380" s="6" t="s">
        <v>5436</v>
      </c>
      <c r="D2380" s="6" t="s">
        <v>5507</v>
      </c>
      <c r="E2380" s="6" t="s">
        <v>1836</v>
      </c>
      <c r="F2380" s="6" t="s">
        <v>16</v>
      </c>
      <c r="G2380" s="6" t="s">
        <v>310</v>
      </c>
      <c r="H2380" s="6"/>
      <c r="I2380" s="6"/>
      <c r="J2380" s="6" t="s">
        <v>19</v>
      </c>
      <c r="K2380" s="6"/>
    </row>
    <row r="2381" customFormat="false" ht="12.8" hidden="false" customHeight="false" outlineLevel="0" collapsed="false">
      <c r="A2381" s="8" t="str">
        <f aca="false">HYPERLINK("https://www.fabsurplus.com/sdi_catalog/salesItemDetails.do?id=100836")</f>
        <v>https://www.fabsurplus.com/sdi_catalog/salesItemDetails.do?id=100836</v>
      </c>
      <c r="B2381" s="8" t="s">
        <v>5513</v>
      </c>
      <c r="C2381" s="8" t="s">
        <v>5436</v>
      </c>
      <c r="D2381" s="8" t="s">
        <v>5514</v>
      </c>
      <c r="E2381" s="8" t="s">
        <v>5515</v>
      </c>
      <c r="F2381" s="8" t="s">
        <v>16</v>
      </c>
      <c r="G2381" s="8" t="s">
        <v>310</v>
      </c>
      <c r="H2381" s="8"/>
      <c r="I2381" s="9" t="n">
        <v>38139</v>
      </c>
      <c r="J2381" s="8" t="s">
        <v>81</v>
      </c>
      <c r="K2381" s="8"/>
    </row>
    <row r="2382" customFormat="false" ht="12.8" hidden="false" customHeight="false" outlineLevel="0" collapsed="false">
      <c r="A2382" s="8" t="str">
        <f aca="false">HYPERLINK("https://www.fabsurplus.com/sdi_catalog/salesItemDetails.do?id=97792")</f>
        <v>https://www.fabsurplus.com/sdi_catalog/salesItemDetails.do?id=97792</v>
      </c>
      <c r="B2382" s="8" t="s">
        <v>5516</v>
      </c>
      <c r="C2382" s="8" t="s">
        <v>5436</v>
      </c>
      <c r="D2382" s="8" t="s">
        <v>5517</v>
      </c>
      <c r="E2382" s="8" t="s">
        <v>1836</v>
      </c>
      <c r="F2382" s="8" t="s">
        <v>16</v>
      </c>
      <c r="G2382" s="8" t="s">
        <v>310</v>
      </c>
      <c r="H2382" s="8"/>
      <c r="I2382" s="8"/>
      <c r="J2382" s="8" t="s">
        <v>19</v>
      </c>
      <c r="K2382" s="8"/>
    </row>
    <row r="2383" customFormat="false" ht="12.8" hidden="false" customHeight="false" outlineLevel="0" collapsed="false">
      <c r="A2383" s="6" t="str">
        <f aca="false">HYPERLINK("https://www.fabsurplus.com/sdi_catalog/salesItemDetails.do?id=97791")</f>
        <v>https://www.fabsurplus.com/sdi_catalog/salesItemDetails.do?id=97791</v>
      </c>
      <c r="B2383" s="6" t="s">
        <v>5518</v>
      </c>
      <c r="C2383" s="6" t="s">
        <v>5436</v>
      </c>
      <c r="D2383" s="6" t="s">
        <v>5517</v>
      </c>
      <c r="E2383" s="6" t="s">
        <v>1836</v>
      </c>
      <c r="F2383" s="6" t="s">
        <v>16</v>
      </c>
      <c r="G2383" s="6" t="s">
        <v>310</v>
      </c>
      <c r="H2383" s="6"/>
      <c r="I2383" s="6"/>
      <c r="J2383" s="6" t="s">
        <v>19</v>
      </c>
      <c r="K2383" s="6"/>
    </row>
    <row r="2384" customFormat="false" ht="12.8" hidden="false" customHeight="false" outlineLevel="0" collapsed="false">
      <c r="A2384" s="8" t="str">
        <f aca="false">HYPERLINK("https://www.fabsurplus.com/sdi_catalog/salesItemDetails.do?id=97790")</f>
        <v>https://www.fabsurplus.com/sdi_catalog/salesItemDetails.do?id=97790</v>
      </c>
      <c r="B2384" s="8" t="s">
        <v>5519</v>
      </c>
      <c r="C2384" s="8" t="s">
        <v>5436</v>
      </c>
      <c r="D2384" s="8" t="s">
        <v>5517</v>
      </c>
      <c r="E2384" s="8" t="s">
        <v>1836</v>
      </c>
      <c r="F2384" s="8" t="s">
        <v>16</v>
      </c>
      <c r="G2384" s="8" t="s">
        <v>310</v>
      </c>
      <c r="H2384" s="8"/>
      <c r="I2384" s="9" t="n">
        <v>41548</v>
      </c>
      <c r="J2384" s="8" t="s">
        <v>19</v>
      </c>
      <c r="K2384" s="8"/>
    </row>
    <row r="2385" customFormat="false" ht="12.8" hidden="false" customHeight="false" outlineLevel="0" collapsed="false">
      <c r="A2385" s="6" t="str">
        <f aca="false">HYPERLINK("https://www.fabsurplus.com/sdi_catalog/salesItemDetails.do?id=97787")</f>
        <v>https://www.fabsurplus.com/sdi_catalog/salesItemDetails.do?id=97787</v>
      </c>
      <c r="B2385" s="6" t="s">
        <v>5520</v>
      </c>
      <c r="C2385" s="6" t="s">
        <v>5436</v>
      </c>
      <c r="D2385" s="6" t="s">
        <v>5517</v>
      </c>
      <c r="E2385" s="6" t="s">
        <v>1836</v>
      </c>
      <c r="F2385" s="6" t="s">
        <v>16</v>
      </c>
      <c r="G2385" s="6" t="s">
        <v>310</v>
      </c>
      <c r="H2385" s="6"/>
      <c r="I2385" s="7" t="n">
        <v>41548</v>
      </c>
      <c r="J2385" s="6" t="s">
        <v>19</v>
      </c>
      <c r="K2385" s="6"/>
    </row>
    <row r="2386" customFormat="false" ht="12.8" hidden="false" customHeight="false" outlineLevel="0" collapsed="false">
      <c r="A2386" s="6" t="str">
        <f aca="false">HYPERLINK("https://www.fabsurplus.com/sdi_catalog/salesItemDetails.do?id=100837")</f>
        <v>https://www.fabsurplus.com/sdi_catalog/salesItemDetails.do?id=100837</v>
      </c>
      <c r="B2386" s="6" t="s">
        <v>5521</v>
      </c>
      <c r="C2386" s="6" t="s">
        <v>5436</v>
      </c>
      <c r="D2386" s="6" t="s">
        <v>5522</v>
      </c>
      <c r="E2386" s="6" t="s">
        <v>5515</v>
      </c>
      <c r="F2386" s="6" t="s">
        <v>16</v>
      </c>
      <c r="G2386" s="6" t="s">
        <v>310</v>
      </c>
      <c r="H2386" s="6"/>
      <c r="I2386" s="7" t="n">
        <v>38139</v>
      </c>
      <c r="J2386" s="6" t="s">
        <v>81</v>
      </c>
      <c r="K2386" s="6"/>
    </row>
    <row r="2387" customFormat="false" ht="12.8" hidden="false" customHeight="false" outlineLevel="0" collapsed="false">
      <c r="A2387" s="6" t="str">
        <f aca="false">HYPERLINK("https://www.fabsurplus.com/sdi_catalog/salesItemDetails.do?id=98840")</f>
        <v>https://www.fabsurplus.com/sdi_catalog/salesItemDetails.do?id=98840</v>
      </c>
      <c r="B2387" s="6" t="s">
        <v>5523</v>
      </c>
      <c r="C2387" s="6" t="s">
        <v>5436</v>
      </c>
      <c r="D2387" s="6" t="s">
        <v>5524</v>
      </c>
      <c r="E2387" s="6" t="s">
        <v>2292</v>
      </c>
      <c r="F2387" s="6" t="s">
        <v>16</v>
      </c>
      <c r="G2387" s="6" t="s">
        <v>310</v>
      </c>
      <c r="H2387" s="6"/>
      <c r="I2387" s="7" t="n">
        <v>41244</v>
      </c>
      <c r="J2387" s="6" t="s">
        <v>19</v>
      </c>
      <c r="K2387" s="6"/>
    </row>
    <row r="2388" customFormat="false" ht="12.8" hidden="false" customHeight="false" outlineLevel="0" collapsed="false">
      <c r="A2388" s="6" t="str">
        <f aca="false">HYPERLINK("https://www.fabsurplus.com/sdi_catalog/salesItemDetails.do?id=100049")</f>
        <v>https://www.fabsurplus.com/sdi_catalog/salesItemDetails.do?id=100049</v>
      </c>
      <c r="B2388" s="6" t="s">
        <v>5525</v>
      </c>
      <c r="C2388" s="6" t="s">
        <v>5436</v>
      </c>
      <c r="D2388" s="6" t="s">
        <v>5524</v>
      </c>
      <c r="E2388" s="6" t="s">
        <v>3265</v>
      </c>
      <c r="F2388" s="6" t="s">
        <v>16</v>
      </c>
      <c r="G2388" s="6" t="s">
        <v>310</v>
      </c>
      <c r="H2388" s="6"/>
      <c r="I2388" s="7" t="n">
        <v>39234</v>
      </c>
      <c r="J2388" s="6" t="s">
        <v>19</v>
      </c>
      <c r="K2388" s="6"/>
    </row>
    <row r="2389" customFormat="false" ht="12.8" hidden="false" customHeight="false" outlineLevel="0" collapsed="false">
      <c r="A2389" s="6" t="str">
        <f aca="false">HYPERLINK("https://www.fabsurplus.com/sdi_catalog/salesItemDetails.do?id=100048")</f>
        <v>https://www.fabsurplus.com/sdi_catalog/salesItemDetails.do?id=100048</v>
      </c>
      <c r="B2389" s="6" t="s">
        <v>5526</v>
      </c>
      <c r="C2389" s="6" t="s">
        <v>5436</v>
      </c>
      <c r="D2389" s="6" t="s">
        <v>5524</v>
      </c>
      <c r="E2389" s="6" t="s">
        <v>3265</v>
      </c>
      <c r="F2389" s="6" t="s">
        <v>16</v>
      </c>
      <c r="G2389" s="6" t="s">
        <v>310</v>
      </c>
      <c r="H2389" s="6"/>
      <c r="I2389" s="7" t="n">
        <v>39234</v>
      </c>
      <c r="J2389" s="6" t="s">
        <v>19</v>
      </c>
      <c r="K2389" s="6"/>
    </row>
    <row r="2390" customFormat="false" ht="12.8" hidden="false" customHeight="false" outlineLevel="0" collapsed="false">
      <c r="A2390" s="6" t="str">
        <f aca="false">HYPERLINK("https://www.fabsurplus.com/sdi_catalog/salesItemDetails.do?id=97034")</f>
        <v>https://www.fabsurplus.com/sdi_catalog/salesItemDetails.do?id=97034</v>
      </c>
      <c r="B2390" s="6" t="s">
        <v>5527</v>
      </c>
      <c r="C2390" s="6" t="s">
        <v>5436</v>
      </c>
      <c r="D2390" s="6" t="s">
        <v>5524</v>
      </c>
      <c r="E2390" s="6" t="s">
        <v>5528</v>
      </c>
      <c r="F2390" s="6" t="s">
        <v>16</v>
      </c>
      <c r="G2390" s="6" t="s">
        <v>310</v>
      </c>
      <c r="H2390" s="6"/>
      <c r="I2390" s="7" t="n">
        <v>38869</v>
      </c>
      <c r="J2390" s="6" t="s">
        <v>19</v>
      </c>
      <c r="K2390" s="6"/>
    </row>
    <row r="2391" customFormat="false" ht="12.8" hidden="false" customHeight="false" outlineLevel="0" collapsed="false">
      <c r="A2391" s="6" t="str">
        <f aca="false">HYPERLINK("https://www.fabsurplus.com/sdi_catalog/salesItemDetails.do?id=100696")</f>
        <v>https://www.fabsurplus.com/sdi_catalog/salesItemDetails.do?id=100696</v>
      </c>
      <c r="B2391" s="6" t="s">
        <v>5529</v>
      </c>
      <c r="C2391" s="6" t="s">
        <v>5436</v>
      </c>
      <c r="D2391" s="6" t="s">
        <v>5524</v>
      </c>
      <c r="E2391" s="6" t="s">
        <v>5530</v>
      </c>
      <c r="F2391" s="6" t="s">
        <v>16</v>
      </c>
      <c r="G2391" s="6" t="s">
        <v>310</v>
      </c>
      <c r="H2391" s="6"/>
      <c r="I2391" s="7" t="n">
        <v>38869</v>
      </c>
      <c r="J2391" s="6" t="s">
        <v>19</v>
      </c>
      <c r="K2391" s="6"/>
    </row>
    <row r="2392" customFormat="false" ht="12.8" hidden="false" customHeight="false" outlineLevel="0" collapsed="false">
      <c r="A2392" s="8" t="str">
        <f aca="false">HYPERLINK("https://www.fabsurplus.com/sdi_catalog/salesItemDetails.do?id=99045")</f>
        <v>https://www.fabsurplus.com/sdi_catalog/salesItemDetails.do?id=99045</v>
      </c>
      <c r="B2392" s="8" t="s">
        <v>5531</v>
      </c>
      <c r="C2392" s="8" t="s">
        <v>5436</v>
      </c>
      <c r="D2392" s="8" t="s">
        <v>5524</v>
      </c>
      <c r="E2392" s="8" t="s">
        <v>1831</v>
      </c>
      <c r="F2392" s="8" t="s">
        <v>16</v>
      </c>
      <c r="G2392" s="8" t="s">
        <v>310</v>
      </c>
      <c r="H2392" s="8"/>
      <c r="I2392" s="9" t="n">
        <v>41730</v>
      </c>
      <c r="J2392" s="8" t="s">
        <v>19</v>
      </c>
      <c r="K2392" s="8"/>
    </row>
    <row r="2393" customFormat="false" ht="12.8" hidden="false" customHeight="false" outlineLevel="0" collapsed="false">
      <c r="A2393" s="8" t="str">
        <f aca="false">HYPERLINK("https://www.fabsurplus.com/sdi_catalog/salesItemDetails.do?id=99044")</f>
        <v>https://www.fabsurplus.com/sdi_catalog/salesItemDetails.do?id=99044</v>
      </c>
      <c r="B2393" s="8" t="s">
        <v>5532</v>
      </c>
      <c r="C2393" s="8" t="s">
        <v>5436</v>
      </c>
      <c r="D2393" s="8" t="s">
        <v>5524</v>
      </c>
      <c r="E2393" s="8" t="s">
        <v>1831</v>
      </c>
      <c r="F2393" s="8" t="s">
        <v>16</v>
      </c>
      <c r="G2393" s="8" t="s">
        <v>310</v>
      </c>
      <c r="H2393" s="8"/>
      <c r="I2393" s="9" t="n">
        <v>40087</v>
      </c>
      <c r="J2393" s="8" t="s">
        <v>19</v>
      </c>
      <c r="K2393" s="8"/>
    </row>
    <row r="2394" customFormat="false" ht="12.8" hidden="false" customHeight="false" outlineLevel="0" collapsed="false">
      <c r="A2394" s="8" t="str">
        <f aca="false">HYPERLINK("https://www.fabsurplus.com/sdi_catalog/salesItemDetails.do?id=98305")</f>
        <v>https://www.fabsurplus.com/sdi_catalog/salesItemDetails.do?id=98305</v>
      </c>
      <c r="B2394" s="8" t="s">
        <v>5533</v>
      </c>
      <c r="C2394" s="8" t="s">
        <v>5436</v>
      </c>
      <c r="D2394" s="8" t="s">
        <v>5524</v>
      </c>
      <c r="E2394" s="8" t="s">
        <v>1831</v>
      </c>
      <c r="F2394" s="8" t="s">
        <v>16</v>
      </c>
      <c r="G2394" s="8" t="s">
        <v>310</v>
      </c>
      <c r="H2394" s="8"/>
      <c r="I2394" s="9" t="n">
        <v>40330</v>
      </c>
      <c r="J2394" s="8" t="s">
        <v>19</v>
      </c>
      <c r="K2394" s="8"/>
    </row>
    <row r="2395" customFormat="false" ht="12.8" hidden="false" customHeight="false" outlineLevel="0" collapsed="false">
      <c r="A2395" s="6" t="str">
        <f aca="false">HYPERLINK("https://www.fabsurplus.com/sdi_catalog/salesItemDetails.do?id=98304")</f>
        <v>https://www.fabsurplus.com/sdi_catalog/salesItemDetails.do?id=98304</v>
      </c>
      <c r="B2395" s="6" t="s">
        <v>5534</v>
      </c>
      <c r="C2395" s="6" t="s">
        <v>5436</v>
      </c>
      <c r="D2395" s="6" t="s">
        <v>5524</v>
      </c>
      <c r="E2395" s="6" t="s">
        <v>1831</v>
      </c>
      <c r="F2395" s="6" t="s">
        <v>16</v>
      </c>
      <c r="G2395" s="6" t="s">
        <v>310</v>
      </c>
      <c r="H2395" s="6"/>
      <c r="I2395" s="7" t="n">
        <v>40330</v>
      </c>
      <c r="J2395" s="6" t="s">
        <v>19</v>
      </c>
      <c r="K2395" s="6"/>
    </row>
    <row r="2396" customFormat="false" ht="12.8" hidden="false" customHeight="false" outlineLevel="0" collapsed="false">
      <c r="A2396" s="8" t="str">
        <f aca="false">HYPERLINK("https://www.fabsurplus.com/sdi_catalog/salesItemDetails.do?id=98303")</f>
        <v>https://www.fabsurplus.com/sdi_catalog/salesItemDetails.do?id=98303</v>
      </c>
      <c r="B2396" s="8" t="s">
        <v>5535</v>
      </c>
      <c r="C2396" s="8" t="s">
        <v>5436</v>
      </c>
      <c r="D2396" s="8" t="s">
        <v>5524</v>
      </c>
      <c r="E2396" s="8" t="s">
        <v>1831</v>
      </c>
      <c r="F2396" s="8" t="s">
        <v>16</v>
      </c>
      <c r="G2396" s="8" t="s">
        <v>310</v>
      </c>
      <c r="H2396" s="8"/>
      <c r="I2396" s="9" t="n">
        <v>38139</v>
      </c>
      <c r="J2396" s="8" t="s">
        <v>19</v>
      </c>
      <c r="K2396" s="8"/>
    </row>
    <row r="2397" customFormat="false" ht="12.8" hidden="false" customHeight="false" outlineLevel="0" collapsed="false">
      <c r="A2397" s="6" t="str">
        <f aca="false">HYPERLINK("https://www.fabsurplus.com/sdi_catalog/salesItemDetails.do?id=98302")</f>
        <v>https://www.fabsurplus.com/sdi_catalog/salesItemDetails.do?id=98302</v>
      </c>
      <c r="B2397" s="6" t="s">
        <v>5536</v>
      </c>
      <c r="C2397" s="6" t="s">
        <v>5436</v>
      </c>
      <c r="D2397" s="6" t="s">
        <v>5524</v>
      </c>
      <c r="E2397" s="6" t="s">
        <v>1831</v>
      </c>
      <c r="F2397" s="6" t="s">
        <v>16</v>
      </c>
      <c r="G2397" s="6" t="s">
        <v>310</v>
      </c>
      <c r="H2397" s="6"/>
      <c r="I2397" s="7" t="n">
        <v>38869</v>
      </c>
      <c r="J2397" s="6" t="s">
        <v>19</v>
      </c>
      <c r="K2397" s="6"/>
    </row>
    <row r="2398" customFormat="false" ht="12.8" hidden="false" customHeight="false" outlineLevel="0" collapsed="false">
      <c r="A2398" s="8" t="str">
        <f aca="false">HYPERLINK("https://www.fabsurplus.com/sdi_catalog/salesItemDetails.do?id=97035")</f>
        <v>https://www.fabsurplus.com/sdi_catalog/salesItemDetails.do?id=97035</v>
      </c>
      <c r="B2398" s="8" t="s">
        <v>5537</v>
      </c>
      <c r="C2398" s="8" t="s">
        <v>5436</v>
      </c>
      <c r="D2398" s="8" t="s">
        <v>5538</v>
      </c>
      <c r="E2398" s="8" t="s">
        <v>5539</v>
      </c>
      <c r="F2398" s="8" t="s">
        <v>16</v>
      </c>
      <c r="G2398" s="8" t="s">
        <v>310</v>
      </c>
      <c r="H2398" s="8"/>
      <c r="I2398" s="9" t="n">
        <v>40695</v>
      </c>
      <c r="J2398" s="8" t="s">
        <v>19</v>
      </c>
      <c r="K2398" s="8"/>
    </row>
    <row r="2399" customFormat="false" ht="12.8" hidden="false" customHeight="false" outlineLevel="0" collapsed="false">
      <c r="A2399" s="6" t="str">
        <f aca="false">HYPERLINK("https://www.fabsurplus.com/sdi_catalog/salesItemDetails.do?id=100011")</f>
        <v>https://www.fabsurplus.com/sdi_catalog/salesItemDetails.do?id=100011</v>
      </c>
      <c r="B2399" s="6" t="s">
        <v>5540</v>
      </c>
      <c r="C2399" s="6" t="s">
        <v>5436</v>
      </c>
      <c r="D2399" s="6" t="s">
        <v>5541</v>
      </c>
      <c r="E2399" s="6" t="s">
        <v>5456</v>
      </c>
      <c r="F2399" s="6" t="s">
        <v>16</v>
      </c>
      <c r="G2399" s="6" t="s">
        <v>686</v>
      </c>
      <c r="H2399" s="6"/>
      <c r="I2399" s="6"/>
      <c r="J2399" s="6" t="s">
        <v>19</v>
      </c>
      <c r="K2399" s="6"/>
    </row>
    <row r="2400" customFormat="false" ht="12.8" hidden="false" customHeight="false" outlineLevel="0" collapsed="false">
      <c r="A2400" s="8" t="str">
        <f aca="false">HYPERLINK("https://www.fabsurplus.com/sdi_catalog/salesItemDetails.do?id=98182")</f>
        <v>https://www.fabsurplus.com/sdi_catalog/salesItemDetails.do?id=98182</v>
      </c>
      <c r="B2400" s="8" t="s">
        <v>5542</v>
      </c>
      <c r="C2400" s="8" t="s">
        <v>5436</v>
      </c>
      <c r="D2400" s="8" t="s">
        <v>5543</v>
      </c>
      <c r="E2400" s="8" t="s">
        <v>5448</v>
      </c>
      <c r="F2400" s="8" t="s">
        <v>16</v>
      </c>
      <c r="G2400" s="8" t="s">
        <v>310</v>
      </c>
      <c r="H2400" s="8"/>
      <c r="I2400" s="8"/>
      <c r="J2400" s="8" t="s">
        <v>19</v>
      </c>
      <c r="K2400" s="8"/>
    </row>
    <row r="2401" customFormat="false" ht="12.8" hidden="false" customHeight="false" outlineLevel="0" collapsed="false">
      <c r="A2401" s="6" t="str">
        <f aca="false">HYPERLINK("https://www.fabsurplus.com/sdi_catalog/salesItemDetails.do?id=99046")</f>
        <v>https://www.fabsurplus.com/sdi_catalog/salesItemDetails.do?id=99046</v>
      </c>
      <c r="B2401" s="6" t="s">
        <v>5544</v>
      </c>
      <c r="C2401" s="6" t="s">
        <v>5436</v>
      </c>
      <c r="D2401" s="6" t="s">
        <v>5543</v>
      </c>
      <c r="E2401" s="6" t="s">
        <v>5459</v>
      </c>
      <c r="F2401" s="6" t="s">
        <v>16</v>
      </c>
      <c r="G2401" s="6" t="s">
        <v>310</v>
      </c>
      <c r="H2401" s="6"/>
      <c r="I2401" s="7" t="n">
        <v>38930</v>
      </c>
      <c r="J2401" s="6" t="s">
        <v>19</v>
      </c>
      <c r="K2401" s="6"/>
    </row>
    <row r="2402" customFormat="false" ht="12.8" hidden="false" customHeight="false" outlineLevel="0" collapsed="false">
      <c r="A2402" s="6" t="str">
        <f aca="false">HYPERLINK("https://www.fabsurplus.com/sdi_catalog/salesItemDetails.do?id=97036")</f>
        <v>https://www.fabsurplus.com/sdi_catalog/salesItemDetails.do?id=97036</v>
      </c>
      <c r="B2402" s="6" t="s">
        <v>5545</v>
      </c>
      <c r="C2402" s="6" t="s">
        <v>5436</v>
      </c>
      <c r="D2402" s="6" t="s">
        <v>5543</v>
      </c>
      <c r="E2402" s="6" t="s">
        <v>5546</v>
      </c>
      <c r="F2402" s="6" t="s">
        <v>16</v>
      </c>
      <c r="G2402" s="6" t="s">
        <v>310</v>
      </c>
      <c r="H2402" s="6"/>
      <c r="I2402" s="7" t="n">
        <v>41061</v>
      </c>
      <c r="J2402" s="6" t="s">
        <v>19</v>
      </c>
      <c r="K2402" s="6"/>
    </row>
    <row r="2403" customFormat="false" ht="12.8" hidden="false" customHeight="false" outlineLevel="0" collapsed="false">
      <c r="A2403" s="8" t="str">
        <f aca="false">HYPERLINK("https://www.fabsurplus.com/sdi_catalog/salesItemDetails.do?id=100250")</f>
        <v>https://www.fabsurplus.com/sdi_catalog/salesItemDetails.do?id=100250</v>
      </c>
      <c r="B2403" s="8" t="s">
        <v>5547</v>
      </c>
      <c r="C2403" s="8" t="s">
        <v>5436</v>
      </c>
      <c r="D2403" s="8" t="s">
        <v>5548</v>
      </c>
      <c r="E2403" s="8" t="s">
        <v>5549</v>
      </c>
      <c r="F2403" s="8" t="s">
        <v>16</v>
      </c>
      <c r="G2403" s="8" t="s">
        <v>686</v>
      </c>
      <c r="H2403" s="8"/>
      <c r="I2403" s="9" t="n">
        <v>38169</v>
      </c>
      <c r="J2403" s="8" t="s">
        <v>19</v>
      </c>
      <c r="K2403" s="8"/>
    </row>
    <row r="2404" customFormat="false" ht="12.8" hidden="false" customHeight="false" outlineLevel="0" collapsed="false">
      <c r="A2404" s="8" t="str">
        <f aca="false">HYPERLINK("https://www.fabsurplus.com/sdi_catalog/salesItemDetails.do?id=99950")</f>
        <v>https://www.fabsurplus.com/sdi_catalog/salesItemDetails.do?id=99950</v>
      </c>
      <c r="B2404" s="8" t="s">
        <v>5550</v>
      </c>
      <c r="C2404" s="8" t="s">
        <v>5436</v>
      </c>
      <c r="D2404" s="8" t="s">
        <v>5551</v>
      </c>
      <c r="E2404" s="8" t="s">
        <v>5462</v>
      </c>
      <c r="F2404" s="8" t="s">
        <v>16</v>
      </c>
      <c r="G2404" s="8" t="s">
        <v>310</v>
      </c>
      <c r="H2404" s="8"/>
      <c r="I2404" s="8"/>
      <c r="J2404" s="8" t="s">
        <v>19</v>
      </c>
      <c r="K2404" s="8"/>
    </row>
    <row r="2405" customFormat="false" ht="12.8" hidden="false" customHeight="false" outlineLevel="0" collapsed="false">
      <c r="A2405" s="6" t="str">
        <f aca="false">HYPERLINK("https://www.fabsurplus.com/sdi_catalog/salesItemDetails.do?id=100349")</f>
        <v>https://www.fabsurplus.com/sdi_catalog/salesItemDetails.do?id=100349</v>
      </c>
      <c r="B2405" s="6" t="s">
        <v>5552</v>
      </c>
      <c r="C2405" s="6" t="s">
        <v>5436</v>
      </c>
      <c r="D2405" s="6" t="s">
        <v>5553</v>
      </c>
      <c r="E2405" s="6" t="s">
        <v>5554</v>
      </c>
      <c r="F2405" s="6" t="s">
        <v>742</v>
      </c>
      <c r="G2405" s="6"/>
      <c r="H2405" s="6" t="s">
        <v>18</v>
      </c>
      <c r="I2405" s="6"/>
      <c r="J2405" s="6" t="s">
        <v>19</v>
      </c>
      <c r="K2405" s="6"/>
    </row>
    <row r="2406" customFormat="false" ht="12.8" hidden="false" customHeight="false" outlineLevel="0" collapsed="false">
      <c r="A2406" s="8" t="str">
        <f aca="false">HYPERLINK("https://www.fabsurplus.com/sdi_catalog/salesItemDetails.do?id=100350")</f>
        <v>https://www.fabsurplus.com/sdi_catalog/salesItemDetails.do?id=100350</v>
      </c>
      <c r="B2406" s="8" t="s">
        <v>5555</v>
      </c>
      <c r="C2406" s="8" t="s">
        <v>5436</v>
      </c>
      <c r="D2406" s="8" t="s">
        <v>5556</v>
      </c>
      <c r="E2406" s="8" t="s">
        <v>5557</v>
      </c>
      <c r="F2406" s="8" t="s">
        <v>245</v>
      </c>
      <c r="G2406" s="8"/>
      <c r="H2406" s="8" t="s">
        <v>18</v>
      </c>
      <c r="I2406" s="8"/>
      <c r="J2406" s="8" t="s">
        <v>19</v>
      </c>
      <c r="K2406" s="8"/>
    </row>
    <row r="2407" customFormat="false" ht="12.8" hidden="false" customHeight="false" outlineLevel="0" collapsed="false">
      <c r="A2407" s="6" t="str">
        <f aca="false">HYPERLINK("https://www.fabsurplus.com/sdi_catalog/salesItemDetails.do?id=100013")</f>
        <v>https://www.fabsurplus.com/sdi_catalog/salesItemDetails.do?id=100013</v>
      </c>
      <c r="B2407" s="6" t="s">
        <v>5558</v>
      </c>
      <c r="C2407" s="6" t="s">
        <v>5436</v>
      </c>
      <c r="D2407" s="6" t="s">
        <v>5559</v>
      </c>
      <c r="E2407" s="6" t="s">
        <v>5560</v>
      </c>
      <c r="F2407" s="6" t="s">
        <v>16</v>
      </c>
      <c r="G2407" s="6" t="s">
        <v>697</v>
      </c>
      <c r="H2407" s="6"/>
      <c r="I2407" s="7" t="n">
        <v>35217</v>
      </c>
      <c r="J2407" s="6" t="s">
        <v>19</v>
      </c>
      <c r="K2407" s="6"/>
    </row>
    <row r="2408" customFormat="false" ht="12.8" hidden="false" customHeight="false" outlineLevel="0" collapsed="false">
      <c r="A2408" s="8" t="str">
        <f aca="false">HYPERLINK("https://www.fabsurplus.com/sdi_catalog/salesItemDetails.do?id=100012")</f>
        <v>https://www.fabsurplus.com/sdi_catalog/salesItemDetails.do?id=100012</v>
      </c>
      <c r="B2408" s="8" t="s">
        <v>5561</v>
      </c>
      <c r="C2408" s="8" t="s">
        <v>5436</v>
      </c>
      <c r="D2408" s="8" t="s">
        <v>5559</v>
      </c>
      <c r="E2408" s="8" t="s">
        <v>5560</v>
      </c>
      <c r="F2408" s="8" t="s">
        <v>16</v>
      </c>
      <c r="G2408" s="8" t="s">
        <v>697</v>
      </c>
      <c r="H2408" s="8"/>
      <c r="I2408" s="9" t="n">
        <v>34851</v>
      </c>
      <c r="J2408" s="8" t="s">
        <v>19</v>
      </c>
      <c r="K2408" s="8"/>
    </row>
    <row r="2409" customFormat="false" ht="12.8" hidden="false" customHeight="false" outlineLevel="0" collapsed="false">
      <c r="A2409" s="6" t="str">
        <f aca="false">HYPERLINK("https://www.fabsurplus.com/sdi_catalog/salesItemDetails.do?id=98041")</f>
        <v>https://www.fabsurplus.com/sdi_catalog/salesItemDetails.do?id=98041</v>
      </c>
      <c r="B2409" s="6" t="s">
        <v>5562</v>
      </c>
      <c r="C2409" s="6" t="s">
        <v>5436</v>
      </c>
      <c r="D2409" s="6" t="s">
        <v>5563</v>
      </c>
      <c r="E2409" s="6" t="s">
        <v>5564</v>
      </c>
      <c r="F2409" s="6" t="s">
        <v>16</v>
      </c>
      <c r="G2409" s="6" t="s">
        <v>32</v>
      </c>
      <c r="H2409" s="6"/>
      <c r="I2409" s="7" t="n">
        <v>35582</v>
      </c>
      <c r="J2409" s="6" t="s">
        <v>19</v>
      </c>
      <c r="K2409" s="6"/>
    </row>
    <row r="2410" customFormat="false" ht="12.8" hidden="false" customHeight="false" outlineLevel="0" collapsed="false">
      <c r="A2410" s="8" t="str">
        <f aca="false">HYPERLINK("https://www.fabsurplus.com/sdi_catalog/salesItemDetails.do?id=99872")</f>
        <v>https://www.fabsurplus.com/sdi_catalog/salesItemDetails.do?id=99872</v>
      </c>
      <c r="B2410" s="8" t="s">
        <v>5565</v>
      </c>
      <c r="C2410" s="8" t="s">
        <v>5436</v>
      </c>
      <c r="D2410" s="8" t="s">
        <v>5566</v>
      </c>
      <c r="E2410" s="8" t="s">
        <v>5567</v>
      </c>
      <c r="F2410" s="8" t="s">
        <v>16</v>
      </c>
      <c r="G2410" s="8" t="s">
        <v>372</v>
      </c>
      <c r="H2410" s="8"/>
      <c r="I2410" s="9" t="n">
        <v>35582</v>
      </c>
      <c r="J2410" s="8" t="s">
        <v>81</v>
      </c>
      <c r="K2410" s="8"/>
    </row>
    <row r="2411" customFormat="false" ht="12.8" hidden="false" customHeight="false" outlineLevel="0" collapsed="false">
      <c r="A2411" s="8" t="str">
        <f aca="false">HYPERLINK("https://www.fabsurplus.com/sdi_catalog/salesItemDetails.do?id=99871")</f>
        <v>https://www.fabsurplus.com/sdi_catalog/salesItemDetails.do?id=99871</v>
      </c>
      <c r="B2411" s="8" t="s">
        <v>5568</v>
      </c>
      <c r="C2411" s="8" t="s">
        <v>5436</v>
      </c>
      <c r="D2411" s="8" t="s">
        <v>5566</v>
      </c>
      <c r="E2411" s="8" t="s">
        <v>5569</v>
      </c>
      <c r="F2411" s="8" t="s">
        <v>16</v>
      </c>
      <c r="G2411" s="8" t="s">
        <v>372</v>
      </c>
      <c r="H2411" s="8"/>
      <c r="I2411" s="9" t="n">
        <v>35278</v>
      </c>
      <c r="J2411" s="8" t="s">
        <v>81</v>
      </c>
      <c r="K2411" s="8"/>
    </row>
    <row r="2412" customFormat="false" ht="12.8" hidden="false" customHeight="false" outlineLevel="0" collapsed="false">
      <c r="A2412" s="6" t="str">
        <f aca="false">HYPERLINK("https://www.fabsurplus.com/sdi_catalog/salesItemDetails.do?id=100014")</f>
        <v>https://www.fabsurplus.com/sdi_catalog/salesItemDetails.do?id=100014</v>
      </c>
      <c r="B2412" s="6" t="s">
        <v>5570</v>
      </c>
      <c r="C2412" s="6" t="s">
        <v>5436</v>
      </c>
      <c r="D2412" s="6" t="s">
        <v>5566</v>
      </c>
      <c r="E2412" s="6" t="s">
        <v>5571</v>
      </c>
      <c r="F2412" s="6" t="s">
        <v>16</v>
      </c>
      <c r="G2412" s="6" t="s">
        <v>2132</v>
      </c>
      <c r="H2412" s="6"/>
      <c r="I2412" s="6"/>
      <c r="J2412" s="6" t="s">
        <v>19</v>
      </c>
      <c r="K2412" s="6"/>
    </row>
    <row r="2413" customFormat="false" ht="12.8" hidden="false" customHeight="false" outlineLevel="0" collapsed="false">
      <c r="A2413" s="6" t="str">
        <f aca="false">HYPERLINK("https://www.fabsurplus.com/sdi_catalog/salesItemDetails.do?id=99873")</f>
        <v>https://www.fabsurplus.com/sdi_catalog/salesItemDetails.do?id=99873</v>
      </c>
      <c r="B2413" s="6" t="s">
        <v>5572</v>
      </c>
      <c r="C2413" s="6" t="s">
        <v>5436</v>
      </c>
      <c r="D2413" s="6" t="s">
        <v>5573</v>
      </c>
      <c r="E2413" s="6" t="s">
        <v>5574</v>
      </c>
      <c r="F2413" s="6" t="s">
        <v>16</v>
      </c>
      <c r="G2413" s="6" t="s">
        <v>372</v>
      </c>
      <c r="H2413" s="6"/>
      <c r="I2413" s="7" t="n">
        <v>34669</v>
      </c>
      <c r="J2413" s="6" t="s">
        <v>81</v>
      </c>
      <c r="K2413" s="6"/>
    </row>
    <row r="2414" customFormat="false" ht="12.8" hidden="false" customHeight="false" outlineLevel="0" collapsed="false">
      <c r="A2414" s="6" t="str">
        <f aca="false">HYPERLINK("https://www.fabsurplus.com/sdi_catalog/salesItemDetails.do?id=98306")</f>
        <v>https://www.fabsurplus.com/sdi_catalog/salesItemDetails.do?id=98306</v>
      </c>
      <c r="B2414" s="6" t="s">
        <v>5575</v>
      </c>
      <c r="C2414" s="6" t="s">
        <v>5436</v>
      </c>
      <c r="D2414" s="6" t="s">
        <v>5576</v>
      </c>
      <c r="E2414" s="6" t="s">
        <v>5577</v>
      </c>
      <c r="F2414" s="6" t="s">
        <v>16</v>
      </c>
      <c r="G2414" s="6"/>
      <c r="H2414" s="6"/>
      <c r="I2414" s="7" t="n">
        <v>34851</v>
      </c>
      <c r="J2414" s="6" t="s">
        <v>19</v>
      </c>
      <c r="K2414" s="6"/>
    </row>
    <row r="2415" customFormat="false" ht="12.8" hidden="false" customHeight="false" outlineLevel="0" collapsed="false">
      <c r="A2415" s="8" t="str">
        <f aca="false">HYPERLINK("https://www.fabsurplus.com/sdi_catalog/salesItemDetails.do?id=98183")</f>
        <v>https://www.fabsurplus.com/sdi_catalog/salesItemDetails.do?id=98183</v>
      </c>
      <c r="B2415" s="8" t="s">
        <v>5578</v>
      </c>
      <c r="C2415" s="8" t="s">
        <v>5436</v>
      </c>
      <c r="D2415" s="8" t="s">
        <v>5579</v>
      </c>
      <c r="E2415" s="8" t="s">
        <v>5580</v>
      </c>
      <c r="F2415" s="8" t="s">
        <v>16</v>
      </c>
      <c r="G2415" s="8" t="s">
        <v>310</v>
      </c>
      <c r="H2415" s="8"/>
      <c r="I2415" s="9" t="n">
        <v>38504</v>
      </c>
      <c r="J2415" s="8" t="s">
        <v>19</v>
      </c>
      <c r="K2415" s="8"/>
    </row>
    <row r="2416" customFormat="false" ht="12.8" hidden="false" customHeight="false" outlineLevel="0" collapsed="false">
      <c r="A2416" s="6" t="str">
        <f aca="false">HYPERLINK("https://www.fabsurplus.com/sdi_catalog/salesItemDetails.do?id=100252")</f>
        <v>https://www.fabsurplus.com/sdi_catalog/salesItemDetails.do?id=100252</v>
      </c>
      <c r="B2416" s="6" t="s">
        <v>5581</v>
      </c>
      <c r="C2416" s="6" t="s">
        <v>5436</v>
      </c>
      <c r="D2416" s="6" t="s">
        <v>5582</v>
      </c>
      <c r="E2416" s="6" t="s">
        <v>2548</v>
      </c>
      <c r="F2416" s="6" t="s">
        <v>16</v>
      </c>
      <c r="G2416" s="6" t="s">
        <v>686</v>
      </c>
      <c r="H2416" s="6"/>
      <c r="I2416" s="7" t="n">
        <v>37043</v>
      </c>
      <c r="J2416" s="6" t="s">
        <v>19</v>
      </c>
      <c r="K2416" s="6"/>
    </row>
    <row r="2417" customFormat="false" ht="12.8" hidden="false" customHeight="false" outlineLevel="0" collapsed="false">
      <c r="A2417" s="8" t="str">
        <f aca="false">HYPERLINK("https://www.fabsurplus.com/sdi_catalog/salesItemDetails.do?id=98250")</f>
        <v>https://www.fabsurplus.com/sdi_catalog/salesItemDetails.do?id=98250</v>
      </c>
      <c r="B2417" s="8" t="s">
        <v>5583</v>
      </c>
      <c r="C2417" s="8" t="s">
        <v>5436</v>
      </c>
      <c r="D2417" s="8" t="s">
        <v>578</v>
      </c>
      <c r="E2417" s="8" t="s">
        <v>676</v>
      </c>
      <c r="F2417" s="8" t="s">
        <v>211</v>
      </c>
      <c r="G2417" s="8" t="s">
        <v>32</v>
      </c>
      <c r="H2417" s="8" t="s">
        <v>18</v>
      </c>
      <c r="I2417" s="8"/>
      <c r="J2417" s="8" t="s">
        <v>81</v>
      </c>
      <c r="K2417" s="8" t="s">
        <v>20</v>
      </c>
    </row>
    <row r="2418" customFormat="false" ht="12.8" hidden="false" customHeight="false" outlineLevel="0" collapsed="false">
      <c r="A2418" s="6" t="str">
        <f aca="false">HYPERLINK("https://www.fabsurplus.com/sdi_catalog/salesItemDetails.do?id=100015")</f>
        <v>https://www.fabsurplus.com/sdi_catalog/salesItemDetails.do?id=100015</v>
      </c>
      <c r="B2418" s="6" t="s">
        <v>5584</v>
      </c>
      <c r="C2418" s="6" t="s">
        <v>5436</v>
      </c>
      <c r="D2418" s="6" t="s">
        <v>5585</v>
      </c>
      <c r="E2418" s="6" t="s">
        <v>676</v>
      </c>
      <c r="F2418" s="6" t="s">
        <v>16</v>
      </c>
      <c r="G2418" s="6" t="s">
        <v>697</v>
      </c>
      <c r="H2418" s="6"/>
      <c r="I2418" s="6"/>
      <c r="J2418" s="6" t="s">
        <v>19</v>
      </c>
      <c r="K2418" s="6"/>
    </row>
    <row r="2419" customFormat="false" ht="12.8" hidden="false" customHeight="false" outlineLevel="0" collapsed="false">
      <c r="A2419" s="8" t="str">
        <f aca="false">HYPERLINK("https://www.fabsurplus.com/sdi_catalog/salesItemDetails.do?id=98251")</f>
        <v>https://www.fabsurplus.com/sdi_catalog/salesItemDetails.do?id=98251</v>
      </c>
      <c r="B2419" s="8" t="s">
        <v>5586</v>
      </c>
      <c r="C2419" s="8" t="s">
        <v>5436</v>
      </c>
      <c r="D2419" s="8" t="s">
        <v>581</v>
      </c>
      <c r="E2419" s="8" t="s">
        <v>676</v>
      </c>
      <c r="F2419" s="8" t="s">
        <v>611</v>
      </c>
      <c r="G2419" s="8" t="s">
        <v>32</v>
      </c>
      <c r="H2419" s="8" t="s">
        <v>18</v>
      </c>
      <c r="I2419" s="8"/>
      <c r="J2419" s="8" t="s">
        <v>81</v>
      </c>
      <c r="K2419" s="8" t="s">
        <v>20</v>
      </c>
    </row>
    <row r="2420" customFormat="false" ht="12.8" hidden="false" customHeight="false" outlineLevel="0" collapsed="false">
      <c r="A2420" s="8" t="str">
        <f aca="false">HYPERLINK("https://www.fabsurplus.com/sdi_catalog/salesItemDetails.do?id=98252")</f>
        <v>https://www.fabsurplus.com/sdi_catalog/salesItemDetails.do?id=98252</v>
      </c>
      <c r="B2420" s="8" t="s">
        <v>5587</v>
      </c>
      <c r="C2420" s="8" t="s">
        <v>5436</v>
      </c>
      <c r="D2420" s="8" t="s">
        <v>5588</v>
      </c>
      <c r="E2420" s="8" t="s">
        <v>676</v>
      </c>
      <c r="F2420" s="8" t="s">
        <v>611</v>
      </c>
      <c r="G2420" s="8" t="s">
        <v>32</v>
      </c>
      <c r="H2420" s="8" t="s">
        <v>18</v>
      </c>
      <c r="I2420" s="8"/>
      <c r="J2420" s="8" t="s">
        <v>81</v>
      </c>
      <c r="K2420" s="8" t="s">
        <v>20</v>
      </c>
    </row>
    <row r="2421" customFormat="false" ht="12.8" hidden="false" customHeight="false" outlineLevel="0" collapsed="false">
      <c r="A2421" s="6" t="str">
        <f aca="false">HYPERLINK("https://www.fabsurplus.com/sdi_catalog/salesItemDetails.do?id=99915")</f>
        <v>https://www.fabsurplus.com/sdi_catalog/salesItemDetails.do?id=99915</v>
      </c>
      <c r="B2421" s="6" t="s">
        <v>5589</v>
      </c>
      <c r="C2421" s="6" t="s">
        <v>5436</v>
      </c>
      <c r="D2421" s="6" t="s">
        <v>5590</v>
      </c>
      <c r="E2421" s="6" t="s">
        <v>676</v>
      </c>
      <c r="F2421" s="6" t="s">
        <v>16</v>
      </c>
      <c r="G2421" s="6" t="s">
        <v>310</v>
      </c>
      <c r="H2421" s="6"/>
      <c r="I2421" s="7" t="n">
        <v>38869</v>
      </c>
      <c r="J2421" s="6" t="s">
        <v>19</v>
      </c>
      <c r="K2421" s="6"/>
    </row>
    <row r="2422" customFormat="false" ht="12.8" hidden="false" customHeight="false" outlineLevel="0" collapsed="false">
      <c r="A2422" s="6" t="str">
        <f aca="false">HYPERLINK("https://www.fabsurplus.com/sdi_catalog/salesItemDetails.do?id=98254")</f>
        <v>https://www.fabsurplus.com/sdi_catalog/salesItemDetails.do?id=98254</v>
      </c>
      <c r="B2422" s="6" t="s">
        <v>5591</v>
      </c>
      <c r="C2422" s="6" t="s">
        <v>5436</v>
      </c>
      <c r="D2422" s="6" t="s">
        <v>5592</v>
      </c>
      <c r="E2422" s="6" t="s">
        <v>676</v>
      </c>
      <c r="F2422" s="6" t="s">
        <v>611</v>
      </c>
      <c r="G2422" s="6" t="s">
        <v>1455</v>
      </c>
      <c r="H2422" s="6" t="s">
        <v>18</v>
      </c>
      <c r="I2422" s="6"/>
      <c r="J2422" s="6" t="s">
        <v>81</v>
      </c>
      <c r="K2422" s="6" t="s">
        <v>20</v>
      </c>
    </row>
    <row r="2423" customFormat="false" ht="12.8" hidden="false" customHeight="false" outlineLevel="0" collapsed="false">
      <c r="A2423" s="8" t="str">
        <f aca="false">HYPERLINK("https://www.fabsurplus.com/sdi_catalog/salesItemDetails.do?id=98253")</f>
        <v>https://www.fabsurplus.com/sdi_catalog/salesItemDetails.do?id=98253</v>
      </c>
      <c r="B2423" s="8" t="s">
        <v>5593</v>
      </c>
      <c r="C2423" s="8" t="s">
        <v>5436</v>
      </c>
      <c r="D2423" s="8" t="s">
        <v>5592</v>
      </c>
      <c r="E2423" s="8" t="s">
        <v>676</v>
      </c>
      <c r="F2423" s="8" t="s">
        <v>611</v>
      </c>
      <c r="G2423" s="8" t="s">
        <v>1455</v>
      </c>
      <c r="H2423" s="8" t="s">
        <v>18</v>
      </c>
      <c r="I2423" s="8"/>
      <c r="J2423" s="8" t="s">
        <v>81</v>
      </c>
      <c r="K2423" s="8" t="s">
        <v>20</v>
      </c>
    </row>
    <row r="2424" customFormat="false" ht="12.8" hidden="false" customHeight="false" outlineLevel="0" collapsed="false">
      <c r="A2424" s="8" t="str">
        <f aca="false">HYPERLINK("https://www.fabsurplus.com/sdi_catalog/salesItemDetails.do?id=100264")</f>
        <v>https://www.fabsurplus.com/sdi_catalog/salesItemDetails.do?id=100264</v>
      </c>
      <c r="B2424" s="8" t="s">
        <v>5594</v>
      </c>
      <c r="C2424" s="8" t="s">
        <v>5436</v>
      </c>
      <c r="D2424" s="8" t="s">
        <v>5595</v>
      </c>
      <c r="E2424" s="8" t="s">
        <v>676</v>
      </c>
      <c r="F2424" s="8" t="s">
        <v>16</v>
      </c>
      <c r="G2424" s="8" t="s">
        <v>686</v>
      </c>
      <c r="H2424" s="8"/>
      <c r="I2424" s="9" t="n">
        <v>39600</v>
      </c>
      <c r="J2424" s="8" t="s">
        <v>19</v>
      </c>
      <c r="K2424" s="8"/>
    </row>
    <row r="2425" customFormat="false" ht="12.8" hidden="false" customHeight="false" outlineLevel="0" collapsed="false">
      <c r="A2425" s="6" t="str">
        <f aca="false">HYPERLINK("https://www.fabsurplus.com/sdi_catalog/salesItemDetails.do?id=100263")</f>
        <v>https://www.fabsurplus.com/sdi_catalog/salesItemDetails.do?id=100263</v>
      </c>
      <c r="B2425" s="6" t="s">
        <v>5596</v>
      </c>
      <c r="C2425" s="6" t="s">
        <v>5436</v>
      </c>
      <c r="D2425" s="6" t="s">
        <v>5595</v>
      </c>
      <c r="E2425" s="6" t="s">
        <v>676</v>
      </c>
      <c r="F2425" s="6" t="s">
        <v>16</v>
      </c>
      <c r="G2425" s="6" t="s">
        <v>686</v>
      </c>
      <c r="H2425" s="6"/>
      <c r="I2425" s="6"/>
      <c r="J2425" s="6" t="s">
        <v>19</v>
      </c>
      <c r="K2425" s="6"/>
    </row>
    <row r="2426" customFormat="false" ht="12.8" hidden="false" customHeight="false" outlineLevel="0" collapsed="false">
      <c r="A2426" s="8" t="str">
        <f aca="false">HYPERLINK("https://www.fabsurplus.com/sdi_catalog/salesItemDetails.do?id=100262")</f>
        <v>https://www.fabsurplus.com/sdi_catalog/salesItemDetails.do?id=100262</v>
      </c>
      <c r="B2426" s="8" t="s">
        <v>5597</v>
      </c>
      <c r="C2426" s="8" t="s">
        <v>5436</v>
      </c>
      <c r="D2426" s="8" t="s">
        <v>5595</v>
      </c>
      <c r="E2426" s="8" t="s">
        <v>676</v>
      </c>
      <c r="F2426" s="8" t="s">
        <v>16</v>
      </c>
      <c r="G2426" s="8" t="s">
        <v>686</v>
      </c>
      <c r="H2426" s="8"/>
      <c r="I2426" s="9" t="n">
        <v>39600</v>
      </c>
      <c r="J2426" s="8" t="s">
        <v>19</v>
      </c>
      <c r="K2426" s="8"/>
    </row>
    <row r="2427" customFormat="false" ht="12.8" hidden="false" customHeight="false" outlineLevel="0" collapsed="false">
      <c r="A2427" s="8" t="str">
        <f aca="false">HYPERLINK("https://www.fabsurplus.com/sdi_catalog/salesItemDetails.do?id=100261")</f>
        <v>https://www.fabsurplus.com/sdi_catalog/salesItemDetails.do?id=100261</v>
      </c>
      <c r="B2427" s="8" t="s">
        <v>5598</v>
      </c>
      <c r="C2427" s="8" t="s">
        <v>5436</v>
      </c>
      <c r="D2427" s="8" t="s">
        <v>5595</v>
      </c>
      <c r="E2427" s="8" t="s">
        <v>676</v>
      </c>
      <c r="F2427" s="8" t="s">
        <v>16</v>
      </c>
      <c r="G2427" s="8" t="s">
        <v>686</v>
      </c>
      <c r="H2427" s="8"/>
      <c r="I2427" s="9" t="n">
        <v>38504</v>
      </c>
      <c r="J2427" s="8" t="s">
        <v>19</v>
      </c>
      <c r="K2427" s="8"/>
    </row>
    <row r="2428" customFormat="false" ht="12.8" hidden="false" customHeight="false" outlineLevel="0" collapsed="false">
      <c r="A2428" s="8" t="str">
        <f aca="false">HYPERLINK("https://www.fabsurplus.com/sdi_catalog/salesItemDetails.do?id=100260")</f>
        <v>https://www.fabsurplus.com/sdi_catalog/salesItemDetails.do?id=100260</v>
      </c>
      <c r="B2428" s="8" t="s">
        <v>5599</v>
      </c>
      <c r="C2428" s="8" t="s">
        <v>5436</v>
      </c>
      <c r="D2428" s="8" t="s">
        <v>5595</v>
      </c>
      <c r="E2428" s="8" t="s">
        <v>676</v>
      </c>
      <c r="F2428" s="8" t="s">
        <v>16</v>
      </c>
      <c r="G2428" s="8" t="s">
        <v>686</v>
      </c>
      <c r="H2428" s="8"/>
      <c r="I2428" s="9" t="n">
        <v>38139</v>
      </c>
      <c r="J2428" s="8" t="s">
        <v>19</v>
      </c>
      <c r="K2428" s="8"/>
    </row>
    <row r="2429" customFormat="false" ht="12.8" hidden="false" customHeight="false" outlineLevel="0" collapsed="false">
      <c r="A2429" s="6" t="str">
        <f aca="false">HYPERLINK("https://www.fabsurplus.com/sdi_catalog/salesItemDetails.do?id=100259")</f>
        <v>https://www.fabsurplus.com/sdi_catalog/salesItemDetails.do?id=100259</v>
      </c>
      <c r="B2429" s="6" t="s">
        <v>5600</v>
      </c>
      <c r="C2429" s="6" t="s">
        <v>5436</v>
      </c>
      <c r="D2429" s="6" t="s">
        <v>5595</v>
      </c>
      <c r="E2429" s="6" t="s">
        <v>676</v>
      </c>
      <c r="F2429" s="6" t="s">
        <v>16</v>
      </c>
      <c r="G2429" s="6" t="s">
        <v>686</v>
      </c>
      <c r="H2429" s="6"/>
      <c r="I2429" s="6"/>
      <c r="J2429" s="6" t="s">
        <v>19</v>
      </c>
      <c r="K2429" s="6"/>
    </row>
    <row r="2430" customFormat="false" ht="12.8" hidden="false" customHeight="false" outlineLevel="0" collapsed="false">
      <c r="A2430" s="8" t="str">
        <f aca="false">HYPERLINK("https://www.fabsurplus.com/sdi_catalog/salesItemDetails.do?id=100258")</f>
        <v>https://www.fabsurplus.com/sdi_catalog/salesItemDetails.do?id=100258</v>
      </c>
      <c r="B2430" s="8" t="s">
        <v>5601</v>
      </c>
      <c r="C2430" s="8" t="s">
        <v>5436</v>
      </c>
      <c r="D2430" s="8" t="s">
        <v>5595</v>
      </c>
      <c r="E2430" s="8" t="s">
        <v>676</v>
      </c>
      <c r="F2430" s="8" t="s">
        <v>16</v>
      </c>
      <c r="G2430" s="8" t="s">
        <v>686</v>
      </c>
      <c r="H2430" s="8"/>
      <c r="I2430" s="9" t="n">
        <v>37773</v>
      </c>
      <c r="J2430" s="8" t="s">
        <v>19</v>
      </c>
      <c r="K2430" s="8"/>
    </row>
    <row r="2431" customFormat="false" ht="12.8" hidden="false" customHeight="false" outlineLevel="0" collapsed="false">
      <c r="A2431" s="6" t="str">
        <f aca="false">HYPERLINK("https://www.fabsurplus.com/sdi_catalog/salesItemDetails.do?id=100257")</f>
        <v>https://www.fabsurplus.com/sdi_catalog/salesItemDetails.do?id=100257</v>
      </c>
      <c r="B2431" s="6" t="s">
        <v>5602</v>
      </c>
      <c r="C2431" s="6" t="s">
        <v>5436</v>
      </c>
      <c r="D2431" s="6" t="s">
        <v>5595</v>
      </c>
      <c r="E2431" s="6" t="s">
        <v>676</v>
      </c>
      <c r="F2431" s="6" t="s">
        <v>16</v>
      </c>
      <c r="G2431" s="6" t="s">
        <v>686</v>
      </c>
      <c r="H2431" s="6"/>
      <c r="I2431" s="7" t="n">
        <v>37773</v>
      </c>
      <c r="J2431" s="6" t="s">
        <v>19</v>
      </c>
      <c r="K2431" s="6"/>
    </row>
    <row r="2432" customFormat="false" ht="12.8" hidden="false" customHeight="false" outlineLevel="0" collapsed="false">
      <c r="A2432" s="6" t="str">
        <f aca="false">HYPERLINK("https://www.fabsurplus.com/sdi_catalog/salesItemDetails.do?id=100256")</f>
        <v>https://www.fabsurplus.com/sdi_catalog/salesItemDetails.do?id=100256</v>
      </c>
      <c r="B2432" s="6" t="s">
        <v>5603</v>
      </c>
      <c r="C2432" s="6" t="s">
        <v>5436</v>
      </c>
      <c r="D2432" s="6" t="s">
        <v>5595</v>
      </c>
      <c r="E2432" s="6" t="s">
        <v>676</v>
      </c>
      <c r="F2432" s="6" t="s">
        <v>16</v>
      </c>
      <c r="G2432" s="6" t="s">
        <v>686</v>
      </c>
      <c r="H2432" s="6"/>
      <c r="I2432" s="7" t="n">
        <v>38139</v>
      </c>
      <c r="J2432" s="6" t="s">
        <v>19</v>
      </c>
      <c r="K2432" s="6"/>
    </row>
    <row r="2433" customFormat="false" ht="12.8" hidden="false" customHeight="false" outlineLevel="0" collapsed="false">
      <c r="A2433" s="6" t="str">
        <f aca="false">HYPERLINK("https://www.fabsurplus.com/sdi_catalog/salesItemDetails.do?id=100255")</f>
        <v>https://www.fabsurplus.com/sdi_catalog/salesItemDetails.do?id=100255</v>
      </c>
      <c r="B2433" s="6" t="s">
        <v>5604</v>
      </c>
      <c r="C2433" s="6" t="s">
        <v>5436</v>
      </c>
      <c r="D2433" s="6" t="s">
        <v>5595</v>
      </c>
      <c r="E2433" s="6" t="s">
        <v>676</v>
      </c>
      <c r="F2433" s="6" t="s">
        <v>16</v>
      </c>
      <c r="G2433" s="6" t="s">
        <v>686</v>
      </c>
      <c r="H2433" s="6"/>
      <c r="I2433" s="7" t="n">
        <v>37773</v>
      </c>
      <c r="J2433" s="6" t="s">
        <v>19</v>
      </c>
      <c r="K2433" s="6"/>
    </row>
    <row r="2434" customFormat="false" ht="12.8" hidden="false" customHeight="false" outlineLevel="0" collapsed="false">
      <c r="A2434" s="6" t="str">
        <f aca="false">HYPERLINK("https://www.fabsurplus.com/sdi_catalog/salesItemDetails.do?id=100254")</f>
        <v>https://www.fabsurplus.com/sdi_catalog/salesItemDetails.do?id=100254</v>
      </c>
      <c r="B2434" s="6" t="s">
        <v>5605</v>
      </c>
      <c r="C2434" s="6" t="s">
        <v>5436</v>
      </c>
      <c r="D2434" s="6" t="s">
        <v>5595</v>
      </c>
      <c r="E2434" s="6" t="s">
        <v>676</v>
      </c>
      <c r="F2434" s="6" t="s">
        <v>16</v>
      </c>
      <c r="G2434" s="6" t="s">
        <v>686</v>
      </c>
      <c r="H2434" s="6"/>
      <c r="I2434" s="7" t="n">
        <v>37773</v>
      </c>
      <c r="J2434" s="6" t="s">
        <v>19</v>
      </c>
      <c r="K2434" s="6"/>
    </row>
    <row r="2435" customFormat="false" ht="12.8" hidden="false" customHeight="false" outlineLevel="0" collapsed="false">
      <c r="A2435" s="8" t="str">
        <f aca="false">HYPERLINK("https://www.fabsurplus.com/sdi_catalog/salesItemDetails.do?id=100253")</f>
        <v>https://www.fabsurplus.com/sdi_catalog/salesItemDetails.do?id=100253</v>
      </c>
      <c r="B2435" s="8" t="s">
        <v>5606</v>
      </c>
      <c r="C2435" s="8" t="s">
        <v>5436</v>
      </c>
      <c r="D2435" s="8" t="s">
        <v>5595</v>
      </c>
      <c r="E2435" s="8" t="s">
        <v>676</v>
      </c>
      <c r="F2435" s="8" t="s">
        <v>16</v>
      </c>
      <c r="G2435" s="8" t="s">
        <v>686</v>
      </c>
      <c r="H2435" s="8"/>
      <c r="I2435" s="9" t="n">
        <v>37773</v>
      </c>
      <c r="J2435" s="8" t="s">
        <v>19</v>
      </c>
      <c r="K2435" s="8"/>
    </row>
    <row r="2436" customFormat="false" ht="12.8" hidden="false" customHeight="false" outlineLevel="0" collapsed="false">
      <c r="A2436" s="8" t="str">
        <f aca="false">HYPERLINK("https://www.fabsurplus.com/sdi_catalog/salesItemDetails.do?id=98042")</f>
        <v>https://www.fabsurplus.com/sdi_catalog/salesItemDetails.do?id=98042</v>
      </c>
      <c r="B2436" s="8" t="s">
        <v>5607</v>
      </c>
      <c r="C2436" s="8" t="s">
        <v>5436</v>
      </c>
      <c r="D2436" s="8" t="s">
        <v>5595</v>
      </c>
      <c r="E2436" s="8" t="s">
        <v>676</v>
      </c>
      <c r="F2436" s="8" t="s">
        <v>16</v>
      </c>
      <c r="G2436" s="8" t="s">
        <v>310</v>
      </c>
      <c r="H2436" s="8"/>
      <c r="I2436" s="9" t="n">
        <v>37408</v>
      </c>
      <c r="J2436" s="8" t="s">
        <v>19</v>
      </c>
      <c r="K2436" s="8"/>
    </row>
    <row r="2437" customFormat="false" ht="12.8" hidden="false" customHeight="false" outlineLevel="0" collapsed="false">
      <c r="A2437" s="8" t="str">
        <f aca="false">HYPERLINK("https://www.fabsurplus.com/sdi_catalog/salesItemDetails.do?id=98256")</f>
        <v>https://www.fabsurplus.com/sdi_catalog/salesItemDetails.do?id=98256</v>
      </c>
      <c r="B2437" s="8" t="s">
        <v>5608</v>
      </c>
      <c r="C2437" s="8" t="s">
        <v>5436</v>
      </c>
      <c r="D2437" s="8" t="s">
        <v>5609</v>
      </c>
      <c r="E2437" s="8" t="s">
        <v>676</v>
      </c>
      <c r="F2437" s="8" t="s">
        <v>16</v>
      </c>
      <c r="G2437" s="8" t="s">
        <v>1455</v>
      </c>
      <c r="H2437" s="8" t="s">
        <v>18</v>
      </c>
      <c r="I2437" s="8"/>
      <c r="J2437" s="8" t="s">
        <v>81</v>
      </c>
      <c r="K2437" s="8" t="s">
        <v>20</v>
      </c>
    </row>
    <row r="2438" customFormat="false" ht="12.8" hidden="false" customHeight="false" outlineLevel="0" collapsed="false">
      <c r="A2438" s="6" t="str">
        <f aca="false">HYPERLINK("https://www.fabsurplus.com/sdi_catalog/salesItemDetails.do?id=100265")</f>
        <v>https://www.fabsurplus.com/sdi_catalog/salesItemDetails.do?id=100265</v>
      </c>
      <c r="B2438" s="6" t="s">
        <v>5610</v>
      </c>
      <c r="C2438" s="6" t="s">
        <v>5436</v>
      </c>
      <c r="D2438" s="6" t="s">
        <v>5611</v>
      </c>
      <c r="E2438" s="6" t="s">
        <v>676</v>
      </c>
      <c r="F2438" s="6" t="s">
        <v>16</v>
      </c>
      <c r="G2438" s="6" t="s">
        <v>686</v>
      </c>
      <c r="H2438" s="6"/>
      <c r="I2438" s="6"/>
      <c r="J2438" s="6" t="s">
        <v>19</v>
      </c>
      <c r="K2438" s="6"/>
    </row>
    <row r="2439" customFormat="false" ht="12.8" hidden="false" customHeight="false" outlineLevel="0" collapsed="false">
      <c r="A2439" s="8" t="str">
        <f aca="false">HYPERLINK("https://www.fabsurplus.com/sdi_catalog/salesItemDetails.do?id=98255")</f>
        <v>https://www.fabsurplus.com/sdi_catalog/salesItemDetails.do?id=98255</v>
      </c>
      <c r="B2439" s="8" t="s">
        <v>5612</v>
      </c>
      <c r="C2439" s="8" t="s">
        <v>5436</v>
      </c>
      <c r="D2439" s="8" t="s">
        <v>5613</v>
      </c>
      <c r="E2439" s="8" t="s">
        <v>676</v>
      </c>
      <c r="F2439" s="8" t="s">
        <v>611</v>
      </c>
      <c r="G2439" s="8" t="s">
        <v>1455</v>
      </c>
      <c r="H2439" s="8" t="s">
        <v>18</v>
      </c>
      <c r="I2439" s="8"/>
      <c r="J2439" s="8" t="s">
        <v>81</v>
      </c>
      <c r="K2439" s="8" t="s">
        <v>20</v>
      </c>
    </row>
    <row r="2440" customFormat="false" ht="12.8" hidden="false" customHeight="false" outlineLevel="0" collapsed="false">
      <c r="A2440" s="8" t="str">
        <f aca="false">HYPERLINK("https://www.fabsurplus.com/sdi_catalog/salesItemDetails.do?id=100842")</f>
        <v>https://www.fabsurplus.com/sdi_catalog/salesItemDetails.do?id=100842</v>
      </c>
      <c r="B2440" s="8" t="s">
        <v>5614</v>
      </c>
      <c r="C2440" s="8" t="s">
        <v>5436</v>
      </c>
      <c r="D2440" s="8" t="s">
        <v>5615</v>
      </c>
      <c r="E2440" s="8" t="s">
        <v>5616</v>
      </c>
      <c r="F2440" s="8" t="s">
        <v>16</v>
      </c>
      <c r="G2440" s="8" t="s">
        <v>310</v>
      </c>
      <c r="H2440" s="8"/>
      <c r="I2440" s="9" t="n">
        <v>39234</v>
      </c>
      <c r="J2440" s="8" t="s">
        <v>81</v>
      </c>
      <c r="K2440" s="8"/>
    </row>
    <row r="2441" customFormat="false" ht="12.8" hidden="false" customHeight="false" outlineLevel="0" collapsed="false">
      <c r="A2441" s="8" t="str">
        <f aca="false">HYPERLINK("https://www.fabsurplus.com/sdi_catalog/salesItemDetails.do?id=100841")</f>
        <v>https://www.fabsurplus.com/sdi_catalog/salesItemDetails.do?id=100841</v>
      </c>
      <c r="B2441" s="8" t="s">
        <v>5617</v>
      </c>
      <c r="C2441" s="8" t="s">
        <v>5436</v>
      </c>
      <c r="D2441" s="8" t="s">
        <v>5615</v>
      </c>
      <c r="E2441" s="8" t="s">
        <v>5616</v>
      </c>
      <c r="F2441" s="8" t="s">
        <v>16</v>
      </c>
      <c r="G2441" s="8" t="s">
        <v>310</v>
      </c>
      <c r="H2441" s="8"/>
      <c r="I2441" s="9" t="n">
        <v>39234</v>
      </c>
      <c r="J2441" s="8" t="s">
        <v>81</v>
      </c>
      <c r="K2441" s="8"/>
    </row>
    <row r="2442" customFormat="false" ht="12.8" hidden="false" customHeight="false" outlineLevel="0" collapsed="false">
      <c r="A2442" s="6" t="str">
        <f aca="false">HYPERLINK("https://www.fabsurplus.com/sdi_catalog/salesItemDetails.do?id=100840")</f>
        <v>https://www.fabsurplus.com/sdi_catalog/salesItemDetails.do?id=100840</v>
      </c>
      <c r="B2442" s="6" t="s">
        <v>5618</v>
      </c>
      <c r="C2442" s="6" t="s">
        <v>5436</v>
      </c>
      <c r="D2442" s="6" t="s">
        <v>5615</v>
      </c>
      <c r="E2442" s="6" t="s">
        <v>5616</v>
      </c>
      <c r="F2442" s="6" t="s">
        <v>16</v>
      </c>
      <c r="G2442" s="6" t="s">
        <v>310</v>
      </c>
      <c r="H2442" s="6"/>
      <c r="I2442" s="7" t="n">
        <v>39234</v>
      </c>
      <c r="J2442" s="6" t="s">
        <v>81</v>
      </c>
      <c r="K2442" s="6"/>
    </row>
    <row r="2443" customFormat="false" ht="12.8" hidden="false" customHeight="false" outlineLevel="0" collapsed="false">
      <c r="A2443" s="8" t="str">
        <f aca="false">HYPERLINK("https://www.fabsurplus.com/sdi_catalog/salesItemDetails.do?id=100272")</f>
        <v>https://www.fabsurplus.com/sdi_catalog/salesItemDetails.do?id=100272</v>
      </c>
      <c r="B2443" s="8" t="s">
        <v>5619</v>
      </c>
      <c r="C2443" s="8" t="s">
        <v>5436</v>
      </c>
      <c r="D2443" s="8" t="s">
        <v>5620</v>
      </c>
      <c r="E2443" s="8" t="s">
        <v>676</v>
      </c>
      <c r="F2443" s="8" t="s">
        <v>16</v>
      </c>
      <c r="G2443" s="8" t="s">
        <v>686</v>
      </c>
      <c r="H2443" s="8"/>
      <c r="I2443" s="9" t="n">
        <v>42522</v>
      </c>
      <c r="J2443" s="8" t="s">
        <v>19</v>
      </c>
      <c r="K2443" s="8"/>
    </row>
    <row r="2444" customFormat="false" ht="12.8" hidden="false" customHeight="false" outlineLevel="0" collapsed="false">
      <c r="A2444" s="8" t="str">
        <f aca="false">HYPERLINK("https://www.fabsurplus.com/sdi_catalog/salesItemDetails.do?id=100271")</f>
        <v>https://www.fabsurplus.com/sdi_catalog/salesItemDetails.do?id=100271</v>
      </c>
      <c r="B2444" s="8" t="s">
        <v>5621</v>
      </c>
      <c r="C2444" s="8" t="s">
        <v>5436</v>
      </c>
      <c r="D2444" s="8" t="s">
        <v>5620</v>
      </c>
      <c r="E2444" s="8" t="s">
        <v>676</v>
      </c>
      <c r="F2444" s="8" t="s">
        <v>16</v>
      </c>
      <c r="G2444" s="8" t="s">
        <v>686</v>
      </c>
      <c r="H2444" s="8"/>
      <c r="I2444" s="9" t="n">
        <v>42522</v>
      </c>
      <c r="J2444" s="8" t="s">
        <v>19</v>
      </c>
      <c r="K2444" s="8"/>
    </row>
    <row r="2445" customFormat="false" ht="12.8" hidden="false" customHeight="false" outlineLevel="0" collapsed="false">
      <c r="A2445" s="8" t="str">
        <f aca="false">HYPERLINK("https://www.fabsurplus.com/sdi_catalog/salesItemDetails.do?id=100270")</f>
        <v>https://www.fabsurplus.com/sdi_catalog/salesItemDetails.do?id=100270</v>
      </c>
      <c r="B2445" s="8" t="s">
        <v>5622</v>
      </c>
      <c r="C2445" s="8" t="s">
        <v>5436</v>
      </c>
      <c r="D2445" s="8" t="s">
        <v>5620</v>
      </c>
      <c r="E2445" s="8" t="s">
        <v>676</v>
      </c>
      <c r="F2445" s="8" t="s">
        <v>16</v>
      </c>
      <c r="G2445" s="8" t="s">
        <v>686</v>
      </c>
      <c r="H2445" s="8"/>
      <c r="I2445" s="9" t="n">
        <v>42522</v>
      </c>
      <c r="J2445" s="8" t="s">
        <v>19</v>
      </c>
      <c r="K2445" s="8"/>
    </row>
    <row r="2446" customFormat="false" ht="12.8" hidden="false" customHeight="false" outlineLevel="0" collapsed="false">
      <c r="A2446" s="8" t="str">
        <f aca="false">HYPERLINK("https://www.fabsurplus.com/sdi_catalog/salesItemDetails.do?id=100269")</f>
        <v>https://www.fabsurplus.com/sdi_catalog/salesItemDetails.do?id=100269</v>
      </c>
      <c r="B2446" s="8" t="s">
        <v>5623</v>
      </c>
      <c r="C2446" s="8" t="s">
        <v>5436</v>
      </c>
      <c r="D2446" s="8" t="s">
        <v>5620</v>
      </c>
      <c r="E2446" s="8" t="s">
        <v>676</v>
      </c>
      <c r="F2446" s="8" t="s">
        <v>16</v>
      </c>
      <c r="G2446" s="8" t="s">
        <v>686</v>
      </c>
      <c r="H2446" s="8"/>
      <c r="I2446" s="9" t="n">
        <v>42156</v>
      </c>
      <c r="J2446" s="8" t="s">
        <v>19</v>
      </c>
      <c r="K2446" s="8"/>
    </row>
    <row r="2447" customFormat="false" ht="12.8" hidden="false" customHeight="false" outlineLevel="0" collapsed="false">
      <c r="A2447" s="6" t="str">
        <f aca="false">HYPERLINK("https://www.fabsurplus.com/sdi_catalog/salesItemDetails.do?id=100268")</f>
        <v>https://www.fabsurplus.com/sdi_catalog/salesItemDetails.do?id=100268</v>
      </c>
      <c r="B2447" s="6" t="s">
        <v>5624</v>
      </c>
      <c r="C2447" s="6" t="s">
        <v>5436</v>
      </c>
      <c r="D2447" s="6" t="s">
        <v>5620</v>
      </c>
      <c r="E2447" s="6" t="s">
        <v>676</v>
      </c>
      <c r="F2447" s="6" t="s">
        <v>16</v>
      </c>
      <c r="G2447" s="6" t="s">
        <v>686</v>
      </c>
      <c r="H2447" s="6"/>
      <c r="I2447" s="7" t="n">
        <v>42156</v>
      </c>
      <c r="J2447" s="6" t="s">
        <v>19</v>
      </c>
      <c r="K2447" s="6"/>
    </row>
    <row r="2448" customFormat="false" ht="12.8" hidden="false" customHeight="false" outlineLevel="0" collapsed="false">
      <c r="A2448" s="8" t="str">
        <f aca="false">HYPERLINK("https://www.fabsurplus.com/sdi_catalog/salesItemDetails.do?id=100267")</f>
        <v>https://www.fabsurplus.com/sdi_catalog/salesItemDetails.do?id=100267</v>
      </c>
      <c r="B2448" s="8" t="s">
        <v>5625</v>
      </c>
      <c r="C2448" s="8" t="s">
        <v>5436</v>
      </c>
      <c r="D2448" s="8" t="s">
        <v>5620</v>
      </c>
      <c r="E2448" s="8" t="s">
        <v>676</v>
      </c>
      <c r="F2448" s="8" t="s">
        <v>16</v>
      </c>
      <c r="G2448" s="8" t="s">
        <v>686</v>
      </c>
      <c r="H2448" s="8"/>
      <c r="I2448" s="9" t="n">
        <v>42156</v>
      </c>
      <c r="J2448" s="8" t="s">
        <v>19</v>
      </c>
      <c r="K2448" s="8"/>
    </row>
    <row r="2449" customFormat="false" ht="12.8" hidden="false" customHeight="false" outlineLevel="0" collapsed="false">
      <c r="A2449" s="6" t="str">
        <f aca="false">HYPERLINK("https://www.fabsurplus.com/sdi_catalog/salesItemDetails.do?id=100266")</f>
        <v>https://www.fabsurplus.com/sdi_catalog/salesItemDetails.do?id=100266</v>
      </c>
      <c r="B2449" s="6" t="s">
        <v>5626</v>
      </c>
      <c r="C2449" s="6" t="s">
        <v>5436</v>
      </c>
      <c r="D2449" s="6" t="s">
        <v>5620</v>
      </c>
      <c r="E2449" s="6" t="s">
        <v>676</v>
      </c>
      <c r="F2449" s="6" t="s">
        <v>16</v>
      </c>
      <c r="G2449" s="6" t="s">
        <v>686</v>
      </c>
      <c r="H2449" s="6"/>
      <c r="I2449" s="7" t="n">
        <v>41791</v>
      </c>
      <c r="J2449" s="6" t="s">
        <v>19</v>
      </c>
      <c r="K2449" s="6"/>
    </row>
    <row r="2450" customFormat="false" ht="12.8" hidden="false" customHeight="false" outlineLevel="0" collapsed="false">
      <c r="A2450" s="6" t="str">
        <f aca="false">HYPERLINK("https://www.fabsurplus.com/sdi_catalog/salesItemDetails.do?id=98045")</f>
        <v>https://www.fabsurplus.com/sdi_catalog/salesItemDetails.do?id=98045</v>
      </c>
      <c r="B2450" s="6" t="s">
        <v>5627</v>
      </c>
      <c r="C2450" s="6" t="s">
        <v>5436</v>
      </c>
      <c r="D2450" s="6" t="s">
        <v>5628</v>
      </c>
      <c r="E2450" s="6" t="s">
        <v>676</v>
      </c>
      <c r="F2450" s="6" t="s">
        <v>16</v>
      </c>
      <c r="G2450" s="6" t="s">
        <v>310</v>
      </c>
      <c r="H2450" s="6" t="s">
        <v>18</v>
      </c>
      <c r="I2450" s="7" t="n">
        <v>41061</v>
      </c>
      <c r="J2450" s="6" t="s">
        <v>19</v>
      </c>
      <c r="K2450" s="6" t="s">
        <v>20</v>
      </c>
    </row>
    <row r="2451" customFormat="false" ht="12.8" hidden="false" customHeight="false" outlineLevel="0" collapsed="false">
      <c r="A2451" s="8" t="str">
        <f aca="false">HYPERLINK("https://www.fabsurplus.com/sdi_catalog/salesItemDetails.do?id=98841")</f>
        <v>https://www.fabsurplus.com/sdi_catalog/salesItemDetails.do?id=98841</v>
      </c>
      <c r="B2451" s="8" t="s">
        <v>5629</v>
      </c>
      <c r="C2451" s="8" t="s">
        <v>5436</v>
      </c>
      <c r="D2451" s="8" t="s">
        <v>5630</v>
      </c>
      <c r="E2451" s="8" t="s">
        <v>1495</v>
      </c>
      <c r="F2451" s="8" t="s">
        <v>16</v>
      </c>
      <c r="G2451" s="8" t="s">
        <v>310</v>
      </c>
      <c r="H2451" s="8"/>
      <c r="I2451" s="9" t="n">
        <v>38504</v>
      </c>
      <c r="J2451" s="8" t="s">
        <v>19</v>
      </c>
      <c r="K2451" s="8"/>
    </row>
    <row r="2452" customFormat="false" ht="12.8" hidden="false" customHeight="false" outlineLevel="0" collapsed="false">
      <c r="A2452" s="8" t="str">
        <f aca="false">HYPERLINK("https://www.fabsurplus.com/sdi_catalog/salesItemDetails.do?id=98435")</f>
        <v>https://www.fabsurplus.com/sdi_catalog/salesItemDetails.do?id=98435</v>
      </c>
      <c r="B2452" s="8" t="s">
        <v>5631</v>
      </c>
      <c r="C2452" s="8" t="s">
        <v>5436</v>
      </c>
      <c r="D2452" s="8" t="s">
        <v>5632</v>
      </c>
      <c r="E2452" s="8" t="s">
        <v>874</v>
      </c>
      <c r="F2452" s="8" t="s">
        <v>16</v>
      </c>
      <c r="G2452" s="8" t="s">
        <v>310</v>
      </c>
      <c r="H2452" s="8"/>
      <c r="I2452" s="8"/>
      <c r="J2452" s="8" t="s">
        <v>19</v>
      </c>
      <c r="K2452" s="8"/>
    </row>
    <row r="2453" customFormat="false" ht="12.8" hidden="false" customHeight="false" outlineLevel="0" collapsed="false">
      <c r="A2453" s="8" t="str">
        <f aca="false">HYPERLINK("https://www.fabsurplus.com/sdi_catalog/salesItemDetails.do?id=99047")</f>
        <v>https://www.fabsurplus.com/sdi_catalog/salesItemDetails.do?id=99047</v>
      </c>
      <c r="B2453" s="8" t="s">
        <v>5633</v>
      </c>
      <c r="C2453" s="8" t="s">
        <v>5436</v>
      </c>
      <c r="D2453" s="8" t="s">
        <v>5634</v>
      </c>
      <c r="E2453" s="8" t="s">
        <v>1495</v>
      </c>
      <c r="F2453" s="8" t="s">
        <v>16</v>
      </c>
      <c r="G2453" s="8"/>
      <c r="H2453" s="8"/>
      <c r="I2453" s="9" t="n">
        <v>39173</v>
      </c>
      <c r="J2453" s="8" t="s">
        <v>19</v>
      </c>
      <c r="K2453" s="8"/>
    </row>
    <row r="2454" customFormat="false" ht="12.8" hidden="false" customHeight="false" outlineLevel="0" collapsed="false">
      <c r="A2454" s="6" t="str">
        <f aca="false">HYPERLINK("https://www.fabsurplus.com/sdi_catalog/salesItemDetails.do?id=98842")</f>
        <v>https://www.fabsurplus.com/sdi_catalog/salesItemDetails.do?id=98842</v>
      </c>
      <c r="B2454" s="6" t="s">
        <v>5635</v>
      </c>
      <c r="C2454" s="6" t="s">
        <v>5436</v>
      </c>
      <c r="D2454" s="6" t="s">
        <v>5634</v>
      </c>
      <c r="E2454" s="6" t="s">
        <v>1495</v>
      </c>
      <c r="F2454" s="6" t="s">
        <v>16</v>
      </c>
      <c r="G2454" s="6" t="s">
        <v>310</v>
      </c>
      <c r="H2454" s="6"/>
      <c r="I2454" s="7" t="n">
        <v>39264</v>
      </c>
      <c r="J2454" s="6" t="s">
        <v>19</v>
      </c>
      <c r="K2454" s="6"/>
    </row>
    <row r="2455" customFormat="false" ht="12.8" hidden="false" customHeight="false" outlineLevel="0" collapsed="false">
      <c r="A2455" s="8" t="str">
        <f aca="false">HYPERLINK("https://www.fabsurplus.com/sdi_catalog/salesItemDetails.do?id=96927")</f>
        <v>https://www.fabsurplus.com/sdi_catalog/salesItemDetails.do?id=96927</v>
      </c>
      <c r="B2455" s="8" t="s">
        <v>5636</v>
      </c>
      <c r="C2455" s="8" t="s">
        <v>5436</v>
      </c>
      <c r="D2455" s="8" t="s">
        <v>5637</v>
      </c>
      <c r="E2455" s="8" t="s">
        <v>1450</v>
      </c>
      <c r="F2455" s="8" t="s">
        <v>16</v>
      </c>
      <c r="G2455" s="8" t="s">
        <v>310</v>
      </c>
      <c r="H2455" s="8"/>
      <c r="I2455" s="9" t="n">
        <v>41061</v>
      </c>
      <c r="J2455" s="8" t="s">
        <v>19</v>
      </c>
      <c r="K2455" s="8"/>
    </row>
    <row r="2456" customFormat="false" ht="12.8" hidden="false" customHeight="false" outlineLevel="0" collapsed="false">
      <c r="A2456" s="8" t="str">
        <f aca="false">HYPERLINK("https://www.fabsurplus.com/sdi_catalog/salesItemDetails.do?id=97777")</f>
        <v>https://www.fabsurplus.com/sdi_catalog/salesItemDetails.do?id=97777</v>
      </c>
      <c r="B2456" s="8" t="s">
        <v>5638</v>
      </c>
      <c r="C2456" s="8" t="s">
        <v>5436</v>
      </c>
      <c r="D2456" s="8" t="s">
        <v>5639</v>
      </c>
      <c r="E2456" s="8" t="s">
        <v>874</v>
      </c>
      <c r="F2456" s="8" t="s">
        <v>16</v>
      </c>
      <c r="G2456" s="8" t="s">
        <v>310</v>
      </c>
      <c r="H2456" s="8"/>
      <c r="I2456" s="9" t="n">
        <v>39569</v>
      </c>
      <c r="J2456" s="8" t="s">
        <v>19</v>
      </c>
      <c r="K2456" s="8"/>
    </row>
    <row r="2457" customFormat="false" ht="12.8" hidden="false" customHeight="false" outlineLevel="0" collapsed="false">
      <c r="A2457" s="8" t="str">
        <f aca="false">HYPERLINK("https://www.fabsurplus.com/sdi_catalog/salesItemDetails.do?id=96928")</f>
        <v>https://www.fabsurplus.com/sdi_catalog/salesItemDetails.do?id=96928</v>
      </c>
      <c r="B2457" s="8" t="s">
        <v>5640</v>
      </c>
      <c r="C2457" s="8" t="s">
        <v>5436</v>
      </c>
      <c r="D2457" s="8" t="s">
        <v>5639</v>
      </c>
      <c r="E2457" s="8" t="s">
        <v>874</v>
      </c>
      <c r="F2457" s="8" t="s">
        <v>16</v>
      </c>
      <c r="G2457" s="8" t="s">
        <v>310</v>
      </c>
      <c r="H2457" s="8"/>
      <c r="I2457" s="9" t="n">
        <v>40452</v>
      </c>
      <c r="J2457" s="8" t="s">
        <v>19</v>
      </c>
      <c r="K2457" s="8"/>
    </row>
    <row r="2458" customFormat="false" ht="12.8" hidden="false" customHeight="false" outlineLevel="0" collapsed="false">
      <c r="A2458" s="8" t="str">
        <f aca="false">HYPERLINK("https://www.fabsurplus.com/sdi_catalog/salesItemDetails.do?id=96931")</f>
        <v>https://www.fabsurplus.com/sdi_catalog/salesItemDetails.do?id=96931</v>
      </c>
      <c r="B2458" s="8" t="s">
        <v>5641</v>
      </c>
      <c r="C2458" s="8" t="s">
        <v>5436</v>
      </c>
      <c r="D2458" s="8" t="s">
        <v>5642</v>
      </c>
      <c r="E2458" s="8" t="s">
        <v>874</v>
      </c>
      <c r="F2458" s="8" t="s">
        <v>16</v>
      </c>
      <c r="G2458" s="8" t="s">
        <v>310</v>
      </c>
      <c r="H2458" s="8"/>
      <c r="I2458" s="8"/>
      <c r="J2458" s="8" t="s">
        <v>19</v>
      </c>
      <c r="K2458" s="8"/>
    </row>
    <row r="2459" customFormat="false" ht="12.8" hidden="false" customHeight="false" outlineLevel="0" collapsed="false">
      <c r="A2459" s="8" t="str">
        <f aca="false">HYPERLINK("https://www.fabsurplus.com/sdi_catalog/salesItemDetails.do?id=96929")</f>
        <v>https://www.fabsurplus.com/sdi_catalog/salesItemDetails.do?id=96929</v>
      </c>
      <c r="B2459" s="8" t="s">
        <v>5643</v>
      </c>
      <c r="C2459" s="8" t="s">
        <v>5436</v>
      </c>
      <c r="D2459" s="8" t="s">
        <v>5642</v>
      </c>
      <c r="E2459" s="8" t="s">
        <v>874</v>
      </c>
      <c r="F2459" s="8" t="s">
        <v>16</v>
      </c>
      <c r="G2459" s="8" t="s">
        <v>310</v>
      </c>
      <c r="H2459" s="8"/>
      <c r="I2459" s="8"/>
      <c r="J2459" s="8" t="s">
        <v>19</v>
      </c>
      <c r="K2459" s="8"/>
    </row>
    <row r="2460" customFormat="false" ht="12.8" hidden="false" customHeight="false" outlineLevel="0" collapsed="false">
      <c r="A2460" s="8" t="str">
        <f aca="false">HYPERLINK("https://www.fabsurplus.com/sdi_catalog/salesItemDetails.do?id=98316")</f>
        <v>https://www.fabsurplus.com/sdi_catalog/salesItemDetails.do?id=98316</v>
      </c>
      <c r="B2460" s="8" t="s">
        <v>5644</v>
      </c>
      <c r="C2460" s="8" t="s">
        <v>5436</v>
      </c>
      <c r="D2460" s="8" t="s">
        <v>5645</v>
      </c>
      <c r="E2460" s="8" t="s">
        <v>3876</v>
      </c>
      <c r="F2460" s="8" t="s">
        <v>16</v>
      </c>
      <c r="G2460" s="8" t="s">
        <v>32</v>
      </c>
      <c r="H2460" s="8" t="s">
        <v>18</v>
      </c>
      <c r="I2460" s="9" t="n">
        <v>34121</v>
      </c>
      <c r="J2460" s="8" t="s">
        <v>19</v>
      </c>
      <c r="K2460" s="8" t="s">
        <v>20</v>
      </c>
    </row>
    <row r="2461" customFormat="false" ht="12.8" hidden="false" customHeight="false" outlineLevel="0" collapsed="false">
      <c r="A2461" s="6" t="str">
        <f aca="false">HYPERLINK("https://www.fabsurplus.com/sdi_catalog/salesItemDetails.do?id=100017")</f>
        <v>https://www.fabsurplus.com/sdi_catalog/salesItemDetails.do?id=100017</v>
      </c>
      <c r="B2461" s="6" t="s">
        <v>5646</v>
      </c>
      <c r="C2461" s="6" t="s">
        <v>5436</v>
      </c>
      <c r="D2461" s="6" t="s">
        <v>5647</v>
      </c>
      <c r="E2461" s="6" t="s">
        <v>3876</v>
      </c>
      <c r="F2461" s="6" t="s">
        <v>16</v>
      </c>
      <c r="G2461" s="6" t="s">
        <v>697</v>
      </c>
      <c r="H2461" s="6"/>
      <c r="I2461" s="7" t="n">
        <v>34851</v>
      </c>
      <c r="J2461" s="6" t="s">
        <v>19</v>
      </c>
      <c r="K2461" s="6"/>
    </row>
    <row r="2462" customFormat="false" ht="12.8" hidden="false" customHeight="false" outlineLevel="0" collapsed="false">
      <c r="A2462" s="6" t="str">
        <f aca="false">HYPERLINK("https://www.fabsurplus.com/sdi_catalog/salesItemDetails.do?id=100016")</f>
        <v>https://www.fabsurplus.com/sdi_catalog/salesItemDetails.do?id=100016</v>
      </c>
      <c r="B2462" s="6" t="s">
        <v>5648</v>
      </c>
      <c r="C2462" s="6" t="s">
        <v>5436</v>
      </c>
      <c r="D2462" s="6" t="s">
        <v>5647</v>
      </c>
      <c r="E2462" s="6" t="s">
        <v>3876</v>
      </c>
      <c r="F2462" s="6" t="s">
        <v>16</v>
      </c>
      <c r="G2462" s="6" t="s">
        <v>697</v>
      </c>
      <c r="H2462" s="6"/>
      <c r="I2462" s="7" t="n">
        <v>34851</v>
      </c>
      <c r="J2462" s="6" t="s">
        <v>19</v>
      </c>
      <c r="K2462" s="6"/>
    </row>
    <row r="2463" customFormat="false" ht="12.8" hidden="false" customHeight="false" outlineLevel="0" collapsed="false">
      <c r="A2463" s="8" t="str">
        <f aca="false">HYPERLINK("https://www.fabsurplus.com/sdi_catalog/salesItemDetails.do?id=100281")</f>
        <v>https://www.fabsurplus.com/sdi_catalog/salesItemDetails.do?id=100281</v>
      </c>
      <c r="B2463" s="8" t="s">
        <v>5649</v>
      </c>
      <c r="C2463" s="8" t="s">
        <v>5436</v>
      </c>
      <c r="D2463" s="8" t="s">
        <v>5650</v>
      </c>
      <c r="E2463" s="8" t="s">
        <v>1836</v>
      </c>
      <c r="F2463" s="8" t="s">
        <v>16</v>
      </c>
      <c r="G2463" s="8" t="s">
        <v>686</v>
      </c>
      <c r="H2463" s="8"/>
      <c r="I2463" s="8"/>
      <c r="J2463" s="8" t="s">
        <v>19</v>
      </c>
      <c r="K2463" s="8"/>
    </row>
    <row r="2464" customFormat="false" ht="12.8" hidden="false" customHeight="false" outlineLevel="0" collapsed="false">
      <c r="A2464" s="8" t="str">
        <f aca="false">HYPERLINK("https://www.fabsurplus.com/sdi_catalog/salesItemDetails.do?id=100280")</f>
        <v>https://www.fabsurplus.com/sdi_catalog/salesItemDetails.do?id=100280</v>
      </c>
      <c r="B2464" s="8" t="s">
        <v>5651</v>
      </c>
      <c r="C2464" s="8" t="s">
        <v>5436</v>
      </c>
      <c r="D2464" s="8" t="s">
        <v>5650</v>
      </c>
      <c r="E2464" s="8" t="s">
        <v>1836</v>
      </c>
      <c r="F2464" s="8" t="s">
        <v>16</v>
      </c>
      <c r="G2464" s="8" t="s">
        <v>686</v>
      </c>
      <c r="H2464" s="8"/>
      <c r="I2464" s="8"/>
      <c r="J2464" s="8" t="s">
        <v>19</v>
      </c>
      <c r="K2464" s="8"/>
    </row>
    <row r="2465" customFormat="false" ht="12.8" hidden="false" customHeight="false" outlineLevel="0" collapsed="false">
      <c r="A2465" s="6" t="str">
        <f aca="false">HYPERLINK("https://www.fabsurplus.com/sdi_catalog/salesItemDetails.do?id=100279")</f>
        <v>https://www.fabsurplus.com/sdi_catalog/salesItemDetails.do?id=100279</v>
      </c>
      <c r="B2465" s="6" t="s">
        <v>5652</v>
      </c>
      <c r="C2465" s="6" t="s">
        <v>5436</v>
      </c>
      <c r="D2465" s="6" t="s">
        <v>5650</v>
      </c>
      <c r="E2465" s="6" t="s">
        <v>1836</v>
      </c>
      <c r="F2465" s="6" t="s">
        <v>16</v>
      </c>
      <c r="G2465" s="6" t="s">
        <v>686</v>
      </c>
      <c r="H2465" s="6"/>
      <c r="I2465" s="6"/>
      <c r="J2465" s="6" t="s">
        <v>19</v>
      </c>
      <c r="K2465" s="6"/>
    </row>
    <row r="2466" customFormat="false" ht="12.8" hidden="false" customHeight="false" outlineLevel="0" collapsed="false">
      <c r="A2466" s="8" t="str">
        <f aca="false">HYPERLINK("https://www.fabsurplus.com/sdi_catalog/salesItemDetails.do?id=100278")</f>
        <v>https://www.fabsurplus.com/sdi_catalog/salesItemDetails.do?id=100278</v>
      </c>
      <c r="B2466" s="8" t="s">
        <v>5653</v>
      </c>
      <c r="C2466" s="8" t="s">
        <v>5436</v>
      </c>
      <c r="D2466" s="8" t="s">
        <v>5650</v>
      </c>
      <c r="E2466" s="8" t="s">
        <v>1836</v>
      </c>
      <c r="F2466" s="8" t="s">
        <v>16</v>
      </c>
      <c r="G2466" s="8" t="s">
        <v>686</v>
      </c>
      <c r="H2466" s="8"/>
      <c r="I2466" s="9" t="n">
        <v>42186</v>
      </c>
      <c r="J2466" s="8" t="s">
        <v>19</v>
      </c>
      <c r="K2466" s="8"/>
    </row>
    <row r="2467" customFormat="false" ht="12.8" hidden="false" customHeight="false" outlineLevel="0" collapsed="false">
      <c r="A2467" s="8" t="str">
        <f aca="false">HYPERLINK("https://www.fabsurplus.com/sdi_catalog/salesItemDetails.do?id=100277")</f>
        <v>https://www.fabsurplus.com/sdi_catalog/salesItemDetails.do?id=100277</v>
      </c>
      <c r="B2467" s="8" t="s">
        <v>5654</v>
      </c>
      <c r="C2467" s="8" t="s">
        <v>5436</v>
      </c>
      <c r="D2467" s="8" t="s">
        <v>5650</v>
      </c>
      <c r="E2467" s="8" t="s">
        <v>1836</v>
      </c>
      <c r="F2467" s="8" t="s">
        <v>16</v>
      </c>
      <c r="G2467" s="8" t="s">
        <v>686</v>
      </c>
      <c r="H2467" s="8"/>
      <c r="I2467" s="9" t="n">
        <v>42156</v>
      </c>
      <c r="J2467" s="8" t="s">
        <v>19</v>
      </c>
      <c r="K2467" s="8"/>
    </row>
    <row r="2468" customFormat="false" ht="12.8" hidden="false" customHeight="false" outlineLevel="0" collapsed="false">
      <c r="A2468" s="6" t="str">
        <f aca="false">HYPERLINK("https://www.fabsurplus.com/sdi_catalog/salesItemDetails.do?id=100276")</f>
        <v>https://www.fabsurplus.com/sdi_catalog/salesItemDetails.do?id=100276</v>
      </c>
      <c r="B2468" s="6" t="s">
        <v>5655</v>
      </c>
      <c r="C2468" s="6" t="s">
        <v>5436</v>
      </c>
      <c r="D2468" s="6" t="s">
        <v>5650</v>
      </c>
      <c r="E2468" s="6" t="s">
        <v>1836</v>
      </c>
      <c r="F2468" s="6" t="s">
        <v>16</v>
      </c>
      <c r="G2468" s="6" t="s">
        <v>686</v>
      </c>
      <c r="H2468" s="6"/>
      <c r="I2468" s="7" t="n">
        <v>42156</v>
      </c>
      <c r="J2468" s="6" t="s">
        <v>19</v>
      </c>
      <c r="K2468" s="6"/>
    </row>
    <row r="2469" customFormat="false" ht="12.8" hidden="false" customHeight="false" outlineLevel="0" collapsed="false">
      <c r="A2469" s="6" t="str">
        <f aca="false">HYPERLINK("https://www.fabsurplus.com/sdi_catalog/salesItemDetails.do?id=100275")</f>
        <v>https://www.fabsurplus.com/sdi_catalog/salesItemDetails.do?id=100275</v>
      </c>
      <c r="B2469" s="6" t="s">
        <v>5656</v>
      </c>
      <c r="C2469" s="6" t="s">
        <v>5436</v>
      </c>
      <c r="D2469" s="6" t="s">
        <v>5650</v>
      </c>
      <c r="E2469" s="6" t="s">
        <v>1836</v>
      </c>
      <c r="F2469" s="6" t="s">
        <v>16</v>
      </c>
      <c r="G2469" s="6" t="s">
        <v>686</v>
      </c>
      <c r="H2469" s="6"/>
      <c r="I2469" s="7" t="n">
        <v>42125</v>
      </c>
      <c r="J2469" s="6" t="s">
        <v>19</v>
      </c>
      <c r="K2469" s="6"/>
    </row>
    <row r="2470" customFormat="false" ht="12.8" hidden="false" customHeight="false" outlineLevel="0" collapsed="false">
      <c r="A2470" s="6" t="str">
        <f aca="false">HYPERLINK("https://www.fabsurplus.com/sdi_catalog/salesItemDetails.do?id=100274")</f>
        <v>https://www.fabsurplus.com/sdi_catalog/salesItemDetails.do?id=100274</v>
      </c>
      <c r="B2470" s="6" t="s">
        <v>5657</v>
      </c>
      <c r="C2470" s="6" t="s">
        <v>5436</v>
      </c>
      <c r="D2470" s="6" t="s">
        <v>5650</v>
      </c>
      <c r="E2470" s="6" t="s">
        <v>1836</v>
      </c>
      <c r="F2470" s="6" t="s">
        <v>16</v>
      </c>
      <c r="G2470" s="6" t="s">
        <v>686</v>
      </c>
      <c r="H2470" s="6"/>
      <c r="I2470" s="7" t="n">
        <v>42125</v>
      </c>
      <c r="J2470" s="6" t="s">
        <v>19</v>
      </c>
      <c r="K2470" s="6"/>
    </row>
    <row r="2471" customFormat="false" ht="12.8" hidden="false" customHeight="false" outlineLevel="0" collapsed="false">
      <c r="A2471" s="8" t="str">
        <f aca="false">HYPERLINK("https://www.fabsurplus.com/sdi_catalog/salesItemDetails.do?id=100273")</f>
        <v>https://www.fabsurplus.com/sdi_catalog/salesItemDetails.do?id=100273</v>
      </c>
      <c r="B2471" s="8" t="s">
        <v>5658</v>
      </c>
      <c r="C2471" s="8" t="s">
        <v>5436</v>
      </c>
      <c r="D2471" s="8" t="s">
        <v>5650</v>
      </c>
      <c r="E2471" s="8" t="s">
        <v>1836</v>
      </c>
      <c r="F2471" s="8" t="s">
        <v>16</v>
      </c>
      <c r="G2471" s="8" t="s">
        <v>686</v>
      </c>
      <c r="H2471" s="8"/>
      <c r="I2471" s="9" t="n">
        <v>38961</v>
      </c>
      <c r="J2471" s="8" t="s">
        <v>19</v>
      </c>
      <c r="K2471" s="8"/>
    </row>
    <row r="2472" customFormat="false" ht="12.8" hidden="false" customHeight="false" outlineLevel="0" collapsed="false">
      <c r="A2472" s="6" t="str">
        <f aca="false">HYPERLINK("https://www.fabsurplus.com/sdi_catalog/salesItemDetails.do?id=96940")</f>
        <v>https://www.fabsurplus.com/sdi_catalog/salesItemDetails.do?id=96940</v>
      </c>
      <c r="B2472" s="6" t="s">
        <v>5659</v>
      </c>
      <c r="C2472" s="6" t="s">
        <v>5436</v>
      </c>
      <c r="D2472" s="6" t="s">
        <v>5650</v>
      </c>
      <c r="E2472" s="6" t="s">
        <v>1836</v>
      </c>
      <c r="F2472" s="6" t="s">
        <v>16</v>
      </c>
      <c r="G2472" s="6" t="s">
        <v>310</v>
      </c>
      <c r="H2472" s="6"/>
      <c r="I2472" s="7" t="n">
        <v>42522</v>
      </c>
      <c r="J2472" s="6" t="s">
        <v>19</v>
      </c>
      <c r="K2472" s="6"/>
    </row>
    <row r="2473" customFormat="false" ht="12.8" hidden="false" customHeight="false" outlineLevel="0" collapsed="false">
      <c r="A2473" s="8" t="str">
        <f aca="false">HYPERLINK("https://www.fabsurplus.com/sdi_catalog/salesItemDetails.do?id=96939")</f>
        <v>https://www.fabsurplus.com/sdi_catalog/salesItemDetails.do?id=96939</v>
      </c>
      <c r="B2473" s="8" t="s">
        <v>5660</v>
      </c>
      <c r="C2473" s="8" t="s">
        <v>5436</v>
      </c>
      <c r="D2473" s="8" t="s">
        <v>5650</v>
      </c>
      <c r="E2473" s="8" t="s">
        <v>1836</v>
      </c>
      <c r="F2473" s="8" t="s">
        <v>16</v>
      </c>
      <c r="G2473" s="8" t="s">
        <v>310</v>
      </c>
      <c r="H2473" s="8"/>
      <c r="I2473" s="9" t="n">
        <v>42522</v>
      </c>
      <c r="J2473" s="8" t="s">
        <v>19</v>
      </c>
      <c r="K2473" s="8"/>
    </row>
    <row r="2474" customFormat="false" ht="12.8" hidden="false" customHeight="false" outlineLevel="0" collapsed="false">
      <c r="A2474" s="6" t="str">
        <f aca="false">HYPERLINK("https://www.fabsurplus.com/sdi_catalog/salesItemDetails.do?id=96937")</f>
        <v>https://www.fabsurplus.com/sdi_catalog/salesItemDetails.do?id=96937</v>
      </c>
      <c r="B2474" s="6" t="s">
        <v>5661</v>
      </c>
      <c r="C2474" s="6" t="s">
        <v>5436</v>
      </c>
      <c r="D2474" s="6" t="s">
        <v>5650</v>
      </c>
      <c r="E2474" s="6" t="s">
        <v>1836</v>
      </c>
      <c r="F2474" s="6" t="s">
        <v>16</v>
      </c>
      <c r="G2474" s="6" t="s">
        <v>310</v>
      </c>
      <c r="H2474" s="6"/>
      <c r="I2474" s="7" t="n">
        <v>42156</v>
      </c>
      <c r="J2474" s="6" t="s">
        <v>19</v>
      </c>
      <c r="K2474" s="6"/>
    </row>
    <row r="2475" customFormat="false" ht="12.8" hidden="false" customHeight="false" outlineLevel="0" collapsed="false">
      <c r="A2475" s="6" t="str">
        <f aca="false">HYPERLINK("https://www.fabsurplus.com/sdi_catalog/salesItemDetails.do?id=96936")</f>
        <v>https://www.fabsurplus.com/sdi_catalog/salesItemDetails.do?id=96936</v>
      </c>
      <c r="B2475" s="6" t="s">
        <v>5662</v>
      </c>
      <c r="C2475" s="6" t="s">
        <v>5436</v>
      </c>
      <c r="D2475" s="6" t="s">
        <v>5650</v>
      </c>
      <c r="E2475" s="6" t="s">
        <v>1836</v>
      </c>
      <c r="F2475" s="6" t="s">
        <v>16</v>
      </c>
      <c r="G2475" s="6" t="s">
        <v>310</v>
      </c>
      <c r="H2475" s="6"/>
      <c r="I2475" s="7" t="n">
        <v>42156</v>
      </c>
      <c r="J2475" s="6" t="s">
        <v>19</v>
      </c>
      <c r="K2475" s="6"/>
    </row>
    <row r="2476" customFormat="false" ht="12.8" hidden="false" customHeight="false" outlineLevel="0" collapsed="false">
      <c r="A2476" s="8" t="str">
        <f aca="false">HYPERLINK("https://www.fabsurplus.com/sdi_catalog/salesItemDetails.do?id=100284")</f>
        <v>https://www.fabsurplus.com/sdi_catalog/salesItemDetails.do?id=100284</v>
      </c>
      <c r="B2476" s="8" t="s">
        <v>5663</v>
      </c>
      <c r="C2476" s="8" t="s">
        <v>5436</v>
      </c>
      <c r="D2476" s="8" t="s">
        <v>5664</v>
      </c>
      <c r="E2476" s="8" t="s">
        <v>5478</v>
      </c>
      <c r="F2476" s="8" t="s">
        <v>16</v>
      </c>
      <c r="G2476" s="8" t="s">
        <v>686</v>
      </c>
      <c r="H2476" s="8"/>
      <c r="I2476" s="9" t="n">
        <v>39264</v>
      </c>
      <c r="J2476" s="8" t="s">
        <v>19</v>
      </c>
      <c r="K2476" s="8"/>
    </row>
    <row r="2477" customFormat="false" ht="12.8" hidden="false" customHeight="false" outlineLevel="0" collapsed="false">
      <c r="A2477" s="8" t="str">
        <f aca="false">HYPERLINK("https://www.fabsurplus.com/sdi_catalog/salesItemDetails.do?id=100283")</f>
        <v>https://www.fabsurplus.com/sdi_catalog/salesItemDetails.do?id=100283</v>
      </c>
      <c r="B2477" s="8" t="s">
        <v>5665</v>
      </c>
      <c r="C2477" s="8" t="s">
        <v>5436</v>
      </c>
      <c r="D2477" s="8" t="s">
        <v>5664</v>
      </c>
      <c r="E2477" s="8" t="s">
        <v>5478</v>
      </c>
      <c r="F2477" s="8" t="s">
        <v>16</v>
      </c>
      <c r="G2477" s="8" t="s">
        <v>686</v>
      </c>
      <c r="H2477" s="8"/>
      <c r="I2477" s="9" t="n">
        <v>39234</v>
      </c>
      <c r="J2477" s="8" t="s">
        <v>19</v>
      </c>
      <c r="K2477" s="8"/>
    </row>
    <row r="2478" customFormat="false" ht="12.8" hidden="false" customHeight="false" outlineLevel="0" collapsed="false">
      <c r="A2478" s="8" t="str">
        <f aca="false">HYPERLINK("https://www.fabsurplus.com/sdi_catalog/salesItemDetails.do?id=100282")</f>
        <v>https://www.fabsurplus.com/sdi_catalog/salesItemDetails.do?id=100282</v>
      </c>
      <c r="B2478" s="8" t="s">
        <v>5666</v>
      </c>
      <c r="C2478" s="8" t="s">
        <v>5436</v>
      </c>
      <c r="D2478" s="8" t="s">
        <v>5664</v>
      </c>
      <c r="E2478" s="8" t="s">
        <v>5478</v>
      </c>
      <c r="F2478" s="8" t="s">
        <v>16</v>
      </c>
      <c r="G2478" s="8" t="s">
        <v>686</v>
      </c>
      <c r="H2478" s="8"/>
      <c r="I2478" s="9" t="n">
        <v>39234</v>
      </c>
      <c r="J2478" s="8" t="s">
        <v>19</v>
      </c>
      <c r="K2478" s="8"/>
    </row>
    <row r="2479" customFormat="false" ht="12.8" hidden="false" customHeight="false" outlineLevel="0" collapsed="false">
      <c r="A2479" s="8" t="str">
        <f aca="false">HYPERLINK("https://www.fabsurplus.com/sdi_catalog/salesItemDetails.do?id=100302")</f>
        <v>https://www.fabsurplus.com/sdi_catalog/salesItemDetails.do?id=100302</v>
      </c>
      <c r="B2479" s="8" t="s">
        <v>5667</v>
      </c>
      <c r="C2479" s="8" t="s">
        <v>5436</v>
      </c>
      <c r="D2479" s="8" t="s">
        <v>5668</v>
      </c>
      <c r="E2479" s="8" t="s">
        <v>1836</v>
      </c>
      <c r="F2479" s="8" t="s">
        <v>16</v>
      </c>
      <c r="G2479" s="8" t="s">
        <v>686</v>
      </c>
      <c r="H2479" s="8"/>
      <c r="I2479" s="8"/>
      <c r="J2479" s="8" t="s">
        <v>19</v>
      </c>
      <c r="K2479" s="8"/>
    </row>
    <row r="2480" customFormat="false" ht="12.8" hidden="false" customHeight="false" outlineLevel="0" collapsed="false">
      <c r="A2480" s="6" t="str">
        <f aca="false">HYPERLINK("https://www.fabsurplus.com/sdi_catalog/salesItemDetails.do?id=100301")</f>
        <v>https://www.fabsurplus.com/sdi_catalog/salesItemDetails.do?id=100301</v>
      </c>
      <c r="B2480" s="6" t="s">
        <v>5669</v>
      </c>
      <c r="C2480" s="6" t="s">
        <v>5436</v>
      </c>
      <c r="D2480" s="6" t="s">
        <v>5668</v>
      </c>
      <c r="E2480" s="6" t="s">
        <v>1836</v>
      </c>
      <c r="F2480" s="6" t="s">
        <v>16</v>
      </c>
      <c r="G2480" s="6" t="s">
        <v>686</v>
      </c>
      <c r="H2480" s="6"/>
      <c r="I2480" s="6"/>
      <c r="J2480" s="6" t="s">
        <v>19</v>
      </c>
      <c r="K2480" s="6"/>
    </row>
    <row r="2481" customFormat="false" ht="12.8" hidden="false" customHeight="false" outlineLevel="0" collapsed="false">
      <c r="A2481" s="6" t="str">
        <f aca="false">HYPERLINK("https://www.fabsurplus.com/sdi_catalog/salesItemDetails.do?id=100300")</f>
        <v>https://www.fabsurplus.com/sdi_catalog/salesItemDetails.do?id=100300</v>
      </c>
      <c r="B2481" s="6" t="s">
        <v>5670</v>
      </c>
      <c r="C2481" s="6" t="s">
        <v>5436</v>
      </c>
      <c r="D2481" s="6" t="s">
        <v>5668</v>
      </c>
      <c r="E2481" s="6" t="s">
        <v>1836</v>
      </c>
      <c r="F2481" s="6" t="s">
        <v>16</v>
      </c>
      <c r="G2481" s="6" t="s">
        <v>686</v>
      </c>
      <c r="H2481" s="6"/>
      <c r="I2481" s="6"/>
      <c r="J2481" s="6" t="s">
        <v>19</v>
      </c>
      <c r="K2481" s="6"/>
    </row>
    <row r="2482" customFormat="false" ht="12.8" hidden="false" customHeight="false" outlineLevel="0" collapsed="false">
      <c r="A2482" s="6" t="str">
        <f aca="false">HYPERLINK("https://www.fabsurplus.com/sdi_catalog/salesItemDetails.do?id=100299")</f>
        <v>https://www.fabsurplus.com/sdi_catalog/salesItemDetails.do?id=100299</v>
      </c>
      <c r="B2482" s="6" t="s">
        <v>5671</v>
      </c>
      <c r="C2482" s="6" t="s">
        <v>5436</v>
      </c>
      <c r="D2482" s="6" t="s">
        <v>5668</v>
      </c>
      <c r="E2482" s="6" t="s">
        <v>1836</v>
      </c>
      <c r="F2482" s="6" t="s">
        <v>16</v>
      </c>
      <c r="G2482" s="6" t="s">
        <v>686</v>
      </c>
      <c r="H2482" s="6"/>
      <c r="I2482" s="6"/>
      <c r="J2482" s="6" t="s">
        <v>19</v>
      </c>
      <c r="K2482" s="6"/>
    </row>
    <row r="2483" customFormat="false" ht="12.8" hidden="false" customHeight="false" outlineLevel="0" collapsed="false">
      <c r="A2483" s="6" t="str">
        <f aca="false">HYPERLINK("https://www.fabsurplus.com/sdi_catalog/salesItemDetails.do?id=100298")</f>
        <v>https://www.fabsurplus.com/sdi_catalog/salesItemDetails.do?id=100298</v>
      </c>
      <c r="B2483" s="6" t="s">
        <v>5672</v>
      </c>
      <c r="C2483" s="6" t="s">
        <v>5436</v>
      </c>
      <c r="D2483" s="6" t="s">
        <v>5668</v>
      </c>
      <c r="E2483" s="6" t="s">
        <v>1836</v>
      </c>
      <c r="F2483" s="6" t="s">
        <v>16</v>
      </c>
      <c r="G2483" s="6" t="s">
        <v>686</v>
      </c>
      <c r="H2483" s="6"/>
      <c r="I2483" s="6"/>
      <c r="J2483" s="6" t="s">
        <v>19</v>
      </c>
      <c r="K2483" s="6"/>
    </row>
    <row r="2484" customFormat="false" ht="12.8" hidden="false" customHeight="false" outlineLevel="0" collapsed="false">
      <c r="A2484" s="8" t="str">
        <f aca="false">HYPERLINK("https://www.fabsurplus.com/sdi_catalog/salesItemDetails.do?id=100297")</f>
        <v>https://www.fabsurplus.com/sdi_catalog/salesItemDetails.do?id=100297</v>
      </c>
      <c r="B2484" s="8" t="s">
        <v>5673</v>
      </c>
      <c r="C2484" s="8" t="s">
        <v>5436</v>
      </c>
      <c r="D2484" s="8" t="s">
        <v>5668</v>
      </c>
      <c r="E2484" s="8" t="s">
        <v>1836</v>
      </c>
      <c r="F2484" s="8" t="s">
        <v>16</v>
      </c>
      <c r="G2484" s="8" t="s">
        <v>686</v>
      </c>
      <c r="H2484" s="8"/>
      <c r="I2484" s="8"/>
      <c r="J2484" s="8" t="s">
        <v>19</v>
      </c>
      <c r="K2484" s="8"/>
    </row>
    <row r="2485" customFormat="false" ht="12.8" hidden="false" customHeight="false" outlineLevel="0" collapsed="false">
      <c r="A2485" s="8" t="str">
        <f aca="false">HYPERLINK("https://www.fabsurplus.com/sdi_catalog/salesItemDetails.do?id=100296")</f>
        <v>https://www.fabsurplus.com/sdi_catalog/salesItemDetails.do?id=100296</v>
      </c>
      <c r="B2485" s="8" t="s">
        <v>5674</v>
      </c>
      <c r="C2485" s="8" t="s">
        <v>5436</v>
      </c>
      <c r="D2485" s="8" t="s">
        <v>5668</v>
      </c>
      <c r="E2485" s="8" t="s">
        <v>1836</v>
      </c>
      <c r="F2485" s="8" t="s">
        <v>16</v>
      </c>
      <c r="G2485" s="8" t="s">
        <v>686</v>
      </c>
      <c r="H2485" s="8"/>
      <c r="I2485" s="8"/>
      <c r="J2485" s="8" t="s">
        <v>19</v>
      </c>
      <c r="K2485" s="8"/>
    </row>
    <row r="2486" customFormat="false" ht="12.8" hidden="false" customHeight="false" outlineLevel="0" collapsed="false">
      <c r="A2486" s="6" t="str">
        <f aca="false">HYPERLINK("https://www.fabsurplus.com/sdi_catalog/salesItemDetails.do?id=100295")</f>
        <v>https://www.fabsurplus.com/sdi_catalog/salesItemDetails.do?id=100295</v>
      </c>
      <c r="B2486" s="6" t="s">
        <v>5675</v>
      </c>
      <c r="C2486" s="6" t="s">
        <v>5436</v>
      </c>
      <c r="D2486" s="6" t="s">
        <v>5668</v>
      </c>
      <c r="E2486" s="6" t="s">
        <v>1836</v>
      </c>
      <c r="F2486" s="6" t="s">
        <v>16</v>
      </c>
      <c r="G2486" s="6" t="s">
        <v>686</v>
      </c>
      <c r="H2486" s="6"/>
      <c r="I2486" s="6"/>
      <c r="J2486" s="6" t="s">
        <v>19</v>
      </c>
      <c r="K2486" s="6"/>
    </row>
    <row r="2487" customFormat="false" ht="12.8" hidden="false" customHeight="false" outlineLevel="0" collapsed="false">
      <c r="A2487" s="6" t="str">
        <f aca="false">HYPERLINK("https://www.fabsurplus.com/sdi_catalog/salesItemDetails.do?id=100294")</f>
        <v>https://www.fabsurplus.com/sdi_catalog/salesItemDetails.do?id=100294</v>
      </c>
      <c r="B2487" s="6" t="s">
        <v>5676</v>
      </c>
      <c r="C2487" s="6" t="s">
        <v>5436</v>
      </c>
      <c r="D2487" s="6" t="s">
        <v>5668</v>
      </c>
      <c r="E2487" s="6" t="s">
        <v>1836</v>
      </c>
      <c r="F2487" s="6" t="s">
        <v>16</v>
      </c>
      <c r="G2487" s="6" t="s">
        <v>686</v>
      </c>
      <c r="H2487" s="6"/>
      <c r="I2487" s="6"/>
      <c r="J2487" s="6" t="s">
        <v>19</v>
      </c>
      <c r="K2487" s="6"/>
    </row>
    <row r="2488" customFormat="false" ht="12.8" hidden="false" customHeight="false" outlineLevel="0" collapsed="false">
      <c r="A2488" s="8" t="str">
        <f aca="false">HYPERLINK("https://www.fabsurplus.com/sdi_catalog/salesItemDetails.do?id=100293")</f>
        <v>https://www.fabsurplus.com/sdi_catalog/salesItemDetails.do?id=100293</v>
      </c>
      <c r="B2488" s="8" t="s">
        <v>5677</v>
      </c>
      <c r="C2488" s="8" t="s">
        <v>5436</v>
      </c>
      <c r="D2488" s="8" t="s">
        <v>5668</v>
      </c>
      <c r="E2488" s="8" t="s">
        <v>1836</v>
      </c>
      <c r="F2488" s="8" t="s">
        <v>16</v>
      </c>
      <c r="G2488" s="8" t="s">
        <v>686</v>
      </c>
      <c r="H2488" s="8"/>
      <c r="I2488" s="8"/>
      <c r="J2488" s="8" t="s">
        <v>19</v>
      </c>
      <c r="K2488" s="8"/>
    </row>
    <row r="2489" customFormat="false" ht="12.8" hidden="false" customHeight="false" outlineLevel="0" collapsed="false">
      <c r="A2489" s="6" t="str">
        <f aca="false">HYPERLINK("https://www.fabsurplus.com/sdi_catalog/salesItemDetails.do?id=100292")</f>
        <v>https://www.fabsurplus.com/sdi_catalog/salesItemDetails.do?id=100292</v>
      </c>
      <c r="B2489" s="6" t="s">
        <v>5678</v>
      </c>
      <c r="C2489" s="6" t="s">
        <v>5436</v>
      </c>
      <c r="D2489" s="6" t="s">
        <v>5668</v>
      </c>
      <c r="E2489" s="6" t="s">
        <v>1836</v>
      </c>
      <c r="F2489" s="6" t="s">
        <v>16</v>
      </c>
      <c r="G2489" s="6" t="s">
        <v>686</v>
      </c>
      <c r="H2489" s="6"/>
      <c r="I2489" s="6"/>
      <c r="J2489" s="6" t="s">
        <v>19</v>
      </c>
      <c r="K2489" s="6"/>
    </row>
    <row r="2490" customFormat="false" ht="12.8" hidden="false" customHeight="false" outlineLevel="0" collapsed="false">
      <c r="A2490" s="6" t="str">
        <f aca="false">HYPERLINK("https://www.fabsurplus.com/sdi_catalog/salesItemDetails.do?id=100291")</f>
        <v>https://www.fabsurplus.com/sdi_catalog/salesItemDetails.do?id=100291</v>
      </c>
      <c r="B2490" s="6" t="s">
        <v>5679</v>
      </c>
      <c r="C2490" s="6" t="s">
        <v>5436</v>
      </c>
      <c r="D2490" s="6" t="s">
        <v>5668</v>
      </c>
      <c r="E2490" s="6" t="s">
        <v>1836</v>
      </c>
      <c r="F2490" s="6" t="s">
        <v>16</v>
      </c>
      <c r="G2490" s="6" t="s">
        <v>686</v>
      </c>
      <c r="H2490" s="6"/>
      <c r="I2490" s="6"/>
      <c r="J2490" s="6" t="s">
        <v>19</v>
      </c>
      <c r="K2490" s="6"/>
    </row>
    <row r="2491" customFormat="false" ht="12.8" hidden="false" customHeight="false" outlineLevel="0" collapsed="false">
      <c r="A2491" s="6" t="str">
        <f aca="false">HYPERLINK("https://www.fabsurplus.com/sdi_catalog/salesItemDetails.do?id=100290")</f>
        <v>https://www.fabsurplus.com/sdi_catalog/salesItemDetails.do?id=100290</v>
      </c>
      <c r="B2491" s="6" t="s">
        <v>5680</v>
      </c>
      <c r="C2491" s="6" t="s">
        <v>5436</v>
      </c>
      <c r="D2491" s="6" t="s">
        <v>5668</v>
      </c>
      <c r="E2491" s="6" t="s">
        <v>1836</v>
      </c>
      <c r="F2491" s="6" t="s">
        <v>16</v>
      </c>
      <c r="G2491" s="6" t="s">
        <v>686</v>
      </c>
      <c r="H2491" s="6"/>
      <c r="I2491" s="6"/>
      <c r="J2491" s="6" t="s">
        <v>19</v>
      </c>
      <c r="K2491" s="6"/>
    </row>
    <row r="2492" customFormat="false" ht="12.8" hidden="false" customHeight="false" outlineLevel="0" collapsed="false">
      <c r="A2492" s="8" t="str">
        <f aca="false">HYPERLINK("https://www.fabsurplus.com/sdi_catalog/salesItemDetails.do?id=100289")</f>
        <v>https://www.fabsurplus.com/sdi_catalog/salesItemDetails.do?id=100289</v>
      </c>
      <c r="B2492" s="8" t="s">
        <v>5681</v>
      </c>
      <c r="C2492" s="8" t="s">
        <v>5436</v>
      </c>
      <c r="D2492" s="8" t="s">
        <v>5668</v>
      </c>
      <c r="E2492" s="8" t="s">
        <v>1836</v>
      </c>
      <c r="F2492" s="8" t="s">
        <v>16</v>
      </c>
      <c r="G2492" s="8" t="s">
        <v>686</v>
      </c>
      <c r="H2492" s="8"/>
      <c r="I2492" s="8"/>
      <c r="J2492" s="8" t="s">
        <v>19</v>
      </c>
      <c r="K2492" s="8"/>
    </row>
    <row r="2493" customFormat="false" ht="12.8" hidden="false" customHeight="false" outlineLevel="0" collapsed="false">
      <c r="A2493" s="6" t="str">
        <f aca="false">HYPERLINK("https://www.fabsurplus.com/sdi_catalog/salesItemDetails.do?id=100288")</f>
        <v>https://www.fabsurplus.com/sdi_catalog/salesItemDetails.do?id=100288</v>
      </c>
      <c r="B2493" s="6" t="s">
        <v>5682</v>
      </c>
      <c r="C2493" s="6" t="s">
        <v>5436</v>
      </c>
      <c r="D2493" s="6" t="s">
        <v>5668</v>
      </c>
      <c r="E2493" s="6" t="s">
        <v>1836</v>
      </c>
      <c r="F2493" s="6" t="s">
        <v>16</v>
      </c>
      <c r="G2493" s="6" t="s">
        <v>686</v>
      </c>
      <c r="H2493" s="6"/>
      <c r="I2493" s="6"/>
      <c r="J2493" s="6" t="s">
        <v>19</v>
      </c>
      <c r="K2493" s="6"/>
    </row>
    <row r="2494" customFormat="false" ht="12.8" hidden="false" customHeight="false" outlineLevel="0" collapsed="false">
      <c r="A2494" s="6" t="str">
        <f aca="false">HYPERLINK("https://www.fabsurplus.com/sdi_catalog/salesItemDetails.do?id=100287")</f>
        <v>https://www.fabsurplus.com/sdi_catalog/salesItemDetails.do?id=100287</v>
      </c>
      <c r="B2494" s="6" t="s">
        <v>5683</v>
      </c>
      <c r="C2494" s="6" t="s">
        <v>5436</v>
      </c>
      <c r="D2494" s="6" t="s">
        <v>5668</v>
      </c>
      <c r="E2494" s="6" t="s">
        <v>1836</v>
      </c>
      <c r="F2494" s="6" t="s">
        <v>16</v>
      </c>
      <c r="G2494" s="6" t="s">
        <v>686</v>
      </c>
      <c r="H2494" s="6"/>
      <c r="I2494" s="6"/>
      <c r="J2494" s="6" t="s">
        <v>19</v>
      </c>
      <c r="K2494" s="6"/>
    </row>
    <row r="2495" customFormat="false" ht="12.8" hidden="false" customHeight="false" outlineLevel="0" collapsed="false">
      <c r="A2495" s="8" t="str">
        <f aca="false">HYPERLINK("https://www.fabsurplus.com/sdi_catalog/salesItemDetails.do?id=100286")</f>
        <v>https://www.fabsurplus.com/sdi_catalog/salesItemDetails.do?id=100286</v>
      </c>
      <c r="B2495" s="8" t="s">
        <v>5684</v>
      </c>
      <c r="C2495" s="8" t="s">
        <v>5436</v>
      </c>
      <c r="D2495" s="8" t="s">
        <v>5668</v>
      </c>
      <c r="E2495" s="8" t="s">
        <v>1836</v>
      </c>
      <c r="F2495" s="8" t="s">
        <v>16</v>
      </c>
      <c r="G2495" s="8" t="s">
        <v>686</v>
      </c>
      <c r="H2495" s="8"/>
      <c r="I2495" s="9" t="n">
        <v>39234</v>
      </c>
      <c r="J2495" s="8" t="s">
        <v>19</v>
      </c>
      <c r="K2495" s="8"/>
    </row>
    <row r="2496" customFormat="false" ht="12.8" hidden="false" customHeight="false" outlineLevel="0" collapsed="false">
      <c r="A2496" s="6" t="str">
        <f aca="false">HYPERLINK("https://www.fabsurplus.com/sdi_catalog/salesItemDetails.do?id=100285")</f>
        <v>https://www.fabsurplus.com/sdi_catalog/salesItemDetails.do?id=100285</v>
      </c>
      <c r="B2496" s="6" t="s">
        <v>5685</v>
      </c>
      <c r="C2496" s="6" t="s">
        <v>5436</v>
      </c>
      <c r="D2496" s="6" t="s">
        <v>5668</v>
      </c>
      <c r="E2496" s="6" t="s">
        <v>1836</v>
      </c>
      <c r="F2496" s="6" t="s">
        <v>16</v>
      </c>
      <c r="G2496" s="6" t="s">
        <v>686</v>
      </c>
      <c r="H2496" s="6"/>
      <c r="I2496" s="7" t="n">
        <v>39234</v>
      </c>
      <c r="J2496" s="6" t="s">
        <v>19</v>
      </c>
      <c r="K2496" s="6"/>
    </row>
    <row r="2497" customFormat="false" ht="12.8" hidden="false" customHeight="false" outlineLevel="0" collapsed="false">
      <c r="A2497" s="8" t="str">
        <f aca="false">HYPERLINK("https://www.fabsurplus.com/sdi_catalog/salesItemDetails.do?id=96948")</f>
        <v>https://www.fabsurplus.com/sdi_catalog/salesItemDetails.do?id=96948</v>
      </c>
      <c r="B2497" s="8" t="s">
        <v>5686</v>
      </c>
      <c r="C2497" s="8" t="s">
        <v>5436</v>
      </c>
      <c r="D2497" s="8" t="s">
        <v>5668</v>
      </c>
      <c r="E2497" s="8" t="s">
        <v>1836</v>
      </c>
      <c r="F2497" s="8" t="s">
        <v>16</v>
      </c>
      <c r="G2497" s="8" t="s">
        <v>310</v>
      </c>
      <c r="H2497" s="8"/>
      <c r="I2497" s="9" t="n">
        <v>37865</v>
      </c>
      <c r="J2497" s="8" t="s">
        <v>19</v>
      </c>
      <c r="K2497" s="8"/>
    </row>
    <row r="2498" customFormat="false" ht="12.8" hidden="false" customHeight="false" outlineLevel="0" collapsed="false">
      <c r="A2498" s="8" t="str">
        <f aca="false">HYPERLINK("https://www.fabsurplus.com/sdi_catalog/salesItemDetails.do?id=96942")</f>
        <v>https://www.fabsurplus.com/sdi_catalog/salesItemDetails.do?id=96942</v>
      </c>
      <c r="B2498" s="8" t="s">
        <v>5687</v>
      </c>
      <c r="C2498" s="8" t="s">
        <v>5436</v>
      </c>
      <c r="D2498" s="8" t="s">
        <v>5668</v>
      </c>
      <c r="E2498" s="8" t="s">
        <v>1836</v>
      </c>
      <c r="F2498" s="8" t="s">
        <v>16</v>
      </c>
      <c r="G2498" s="8" t="s">
        <v>310</v>
      </c>
      <c r="H2498" s="8"/>
      <c r="I2498" s="9" t="n">
        <v>41548</v>
      </c>
      <c r="J2498" s="8" t="s">
        <v>19</v>
      </c>
      <c r="K2498" s="8"/>
    </row>
    <row r="2499" customFormat="false" ht="12.8" hidden="false" customHeight="false" outlineLevel="0" collapsed="false">
      <c r="A2499" s="6" t="str">
        <f aca="false">HYPERLINK("https://www.fabsurplus.com/sdi_catalog/salesItemDetails.do?id=100303")</f>
        <v>https://www.fabsurplus.com/sdi_catalog/salesItemDetails.do?id=100303</v>
      </c>
      <c r="B2499" s="6" t="s">
        <v>5688</v>
      </c>
      <c r="C2499" s="6" t="s">
        <v>5436</v>
      </c>
      <c r="D2499" s="6" t="s">
        <v>5689</v>
      </c>
      <c r="E2499" s="6" t="s">
        <v>1836</v>
      </c>
      <c r="F2499" s="6" t="s">
        <v>16</v>
      </c>
      <c r="G2499" s="6" t="s">
        <v>686</v>
      </c>
      <c r="H2499" s="6"/>
      <c r="I2499" s="7" t="n">
        <v>38869</v>
      </c>
      <c r="J2499" s="6" t="s">
        <v>19</v>
      </c>
      <c r="K2499" s="6"/>
    </row>
    <row r="2500" customFormat="false" ht="12.8" hidden="false" customHeight="false" outlineLevel="0" collapsed="false">
      <c r="A2500" s="6" t="str">
        <f aca="false">HYPERLINK("https://www.fabsurplus.com/sdi_catalog/salesItemDetails.do?id=97796")</f>
        <v>https://www.fabsurplus.com/sdi_catalog/salesItemDetails.do?id=97796</v>
      </c>
      <c r="B2500" s="6" t="s">
        <v>5690</v>
      </c>
      <c r="C2500" s="6" t="s">
        <v>5436</v>
      </c>
      <c r="D2500" s="6" t="s">
        <v>5689</v>
      </c>
      <c r="E2500" s="6" t="s">
        <v>1836</v>
      </c>
      <c r="F2500" s="6" t="s">
        <v>16</v>
      </c>
      <c r="G2500" s="6" t="s">
        <v>310</v>
      </c>
      <c r="H2500" s="6"/>
      <c r="I2500" s="6"/>
      <c r="J2500" s="6" t="s">
        <v>19</v>
      </c>
      <c r="K2500" s="6"/>
    </row>
    <row r="2501" customFormat="false" ht="12.8" hidden="false" customHeight="false" outlineLevel="0" collapsed="false">
      <c r="A2501" s="8" t="str">
        <f aca="false">HYPERLINK("https://www.fabsurplus.com/sdi_catalog/salesItemDetails.do?id=100304")</f>
        <v>https://www.fabsurplus.com/sdi_catalog/salesItemDetails.do?id=100304</v>
      </c>
      <c r="B2501" s="8" t="s">
        <v>5691</v>
      </c>
      <c r="C2501" s="8" t="s">
        <v>5436</v>
      </c>
      <c r="D2501" s="8" t="s">
        <v>5692</v>
      </c>
      <c r="E2501" s="8" t="s">
        <v>5693</v>
      </c>
      <c r="F2501" s="8" t="s">
        <v>16</v>
      </c>
      <c r="G2501" s="8" t="s">
        <v>686</v>
      </c>
      <c r="H2501" s="8"/>
      <c r="I2501" s="9" t="n">
        <v>40695</v>
      </c>
      <c r="J2501" s="8" t="s">
        <v>19</v>
      </c>
      <c r="K2501" s="8"/>
    </row>
    <row r="2502" customFormat="false" ht="12.8" hidden="false" customHeight="false" outlineLevel="0" collapsed="false">
      <c r="A2502" s="8" t="str">
        <f aca="false">HYPERLINK("https://www.fabsurplus.com/sdi_catalog/salesItemDetails.do?id=97801")</f>
        <v>https://www.fabsurplus.com/sdi_catalog/salesItemDetails.do?id=97801</v>
      </c>
      <c r="B2502" s="8" t="s">
        <v>5694</v>
      </c>
      <c r="C2502" s="8" t="s">
        <v>5436</v>
      </c>
      <c r="D2502" s="8" t="s">
        <v>5692</v>
      </c>
      <c r="E2502" s="8" t="s">
        <v>5693</v>
      </c>
      <c r="F2502" s="8" t="s">
        <v>16</v>
      </c>
      <c r="G2502" s="8" t="s">
        <v>310</v>
      </c>
      <c r="H2502" s="8"/>
      <c r="I2502" s="8"/>
      <c r="J2502" s="8" t="s">
        <v>19</v>
      </c>
      <c r="K2502" s="8"/>
    </row>
    <row r="2503" customFormat="false" ht="12.8" hidden="false" customHeight="false" outlineLevel="0" collapsed="false">
      <c r="A2503" s="6" t="str">
        <f aca="false">HYPERLINK("https://www.fabsurplus.com/sdi_catalog/salesItemDetails.do?id=96954")</f>
        <v>https://www.fabsurplus.com/sdi_catalog/salesItemDetails.do?id=96954</v>
      </c>
      <c r="B2503" s="6" t="s">
        <v>5695</v>
      </c>
      <c r="C2503" s="6" t="s">
        <v>5436</v>
      </c>
      <c r="D2503" s="6" t="s">
        <v>5692</v>
      </c>
      <c r="E2503" s="6" t="s">
        <v>5693</v>
      </c>
      <c r="F2503" s="6" t="s">
        <v>16</v>
      </c>
      <c r="G2503" s="6" t="s">
        <v>310</v>
      </c>
      <c r="H2503" s="6"/>
      <c r="I2503" s="7" t="n">
        <v>40330</v>
      </c>
      <c r="J2503" s="6" t="s">
        <v>19</v>
      </c>
      <c r="K2503" s="6"/>
    </row>
    <row r="2504" customFormat="false" ht="12.8" hidden="false" customHeight="false" outlineLevel="0" collapsed="false">
      <c r="A2504" s="6" t="str">
        <f aca="false">HYPERLINK("https://www.fabsurplus.com/sdi_catalog/salesItemDetails.do?id=96953")</f>
        <v>https://www.fabsurplus.com/sdi_catalog/salesItemDetails.do?id=96953</v>
      </c>
      <c r="B2504" s="6" t="s">
        <v>5696</v>
      </c>
      <c r="C2504" s="6" t="s">
        <v>5436</v>
      </c>
      <c r="D2504" s="6" t="s">
        <v>5692</v>
      </c>
      <c r="E2504" s="6" t="s">
        <v>5693</v>
      </c>
      <c r="F2504" s="6" t="s">
        <v>16</v>
      </c>
      <c r="G2504" s="6" t="s">
        <v>310</v>
      </c>
      <c r="H2504" s="6"/>
      <c r="I2504" s="7" t="n">
        <v>40330</v>
      </c>
      <c r="J2504" s="6" t="s">
        <v>19</v>
      </c>
      <c r="K2504" s="6"/>
    </row>
    <row r="2505" customFormat="false" ht="12.8" hidden="false" customHeight="false" outlineLevel="0" collapsed="false">
      <c r="A2505" s="6" t="str">
        <f aca="false">HYPERLINK("https://www.fabsurplus.com/sdi_catalog/salesItemDetails.do?id=96950")</f>
        <v>https://www.fabsurplus.com/sdi_catalog/salesItemDetails.do?id=96950</v>
      </c>
      <c r="B2505" s="6" t="s">
        <v>5697</v>
      </c>
      <c r="C2505" s="6" t="s">
        <v>5436</v>
      </c>
      <c r="D2505" s="6" t="s">
        <v>5692</v>
      </c>
      <c r="E2505" s="6" t="s">
        <v>5693</v>
      </c>
      <c r="F2505" s="6" t="s">
        <v>16</v>
      </c>
      <c r="G2505" s="6" t="s">
        <v>310</v>
      </c>
      <c r="H2505" s="6"/>
      <c r="I2505" s="7" t="n">
        <v>40330</v>
      </c>
      <c r="J2505" s="6" t="s">
        <v>19</v>
      </c>
      <c r="K2505" s="6"/>
    </row>
    <row r="2506" customFormat="false" ht="12.8" hidden="false" customHeight="false" outlineLevel="0" collapsed="false">
      <c r="A2506" s="6" t="str">
        <f aca="false">HYPERLINK("https://www.fabsurplus.com/sdi_catalog/salesItemDetails.do?id=96955")</f>
        <v>https://www.fabsurplus.com/sdi_catalog/salesItemDetails.do?id=96955</v>
      </c>
      <c r="B2506" s="6" t="s">
        <v>5698</v>
      </c>
      <c r="C2506" s="6" t="s">
        <v>5436</v>
      </c>
      <c r="D2506" s="6" t="s">
        <v>5699</v>
      </c>
      <c r="E2506" s="6" t="s">
        <v>1836</v>
      </c>
      <c r="F2506" s="6" t="s">
        <v>16</v>
      </c>
      <c r="G2506" s="6" t="s">
        <v>310</v>
      </c>
      <c r="H2506" s="6"/>
      <c r="I2506" s="7" t="n">
        <v>41426</v>
      </c>
      <c r="J2506" s="6" t="s">
        <v>19</v>
      </c>
      <c r="K2506" s="6"/>
    </row>
    <row r="2507" customFormat="false" ht="12.8" hidden="false" customHeight="false" outlineLevel="0" collapsed="false">
      <c r="A2507" s="8" t="str">
        <f aca="false">HYPERLINK("https://www.fabsurplus.com/sdi_catalog/salesItemDetails.do?id=100307")</f>
        <v>https://www.fabsurplus.com/sdi_catalog/salesItemDetails.do?id=100307</v>
      </c>
      <c r="B2507" s="8" t="s">
        <v>5700</v>
      </c>
      <c r="C2507" s="8" t="s">
        <v>5436</v>
      </c>
      <c r="D2507" s="8" t="s">
        <v>5701</v>
      </c>
      <c r="E2507" s="8" t="s">
        <v>874</v>
      </c>
      <c r="F2507" s="8" t="s">
        <v>16</v>
      </c>
      <c r="G2507" s="8" t="s">
        <v>686</v>
      </c>
      <c r="H2507" s="8"/>
      <c r="I2507" s="8"/>
      <c r="J2507" s="8" t="s">
        <v>19</v>
      </c>
      <c r="K2507" s="8"/>
    </row>
    <row r="2508" customFormat="false" ht="12.8" hidden="false" customHeight="false" outlineLevel="0" collapsed="false">
      <c r="A2508" s="6" t="str">
        <f aca="false">HYPERLINK("https://www.fabsurplus.com/sdi_catalog/salesItemDetails.do?id=100306")</f>
        <v>https://www.fabsurplus.com/sdi_catalog/salesItemDetails.do?id=100306</v>
      </c>
      <c r="B2508" s="6" t="s">
        <v>5702</v>
      </c>
      <c r="C2508" s="6" t="s">
        <v>5436</v>
      </c>
      <c r="D2508" s="6" t="s">
        <v>5701</v>
      </c>
      <c r="E2508" s="6" t="s">
        <v>874</v>
      </c>
      <c r="F2508" s="6" t="s">
        <v>16</v>
      </c>
      <c r="G2508" s="6" t="s">
        <v>686</v>
      </c>
      <c r="H2508" s="6"/>
      <c r="I2508" s="7" t="n">
        <v>37865</v>
      </c>
      <c r="J2508" s="6" t="s">
        <v>19</v>
      </c>
      <c r="K2508" s="6"/>
    </row>
    <row r="2509" customFormat="false" ht="12.8" hidden="false" customHeight="false" outlineLevel="0" collapsed="false">
      <c r="A2509" s="8" t="str">
        <f aca="false">HYPERLINK("https://www.fabsurplus.com/sdi_catalog/salesItemDetails.do?id=100305")</f>
        <v>https://www.fabsurplus.com/sdi_catalog/salesItemDetails.do?id=100305</v>
      </c>
      <c r="B2509" s="8" t="s">
        <v>5703</v>
      </c>
      <c r="C2509" s="8" t="s">
        <v>5436</v>
      </c>
      <c r="D2509" s="8" t="s">
        <v>5701</v>
      </c>
      <c r="E2509" s="8" t="s">
        <v>874</v>
      </c>
      <c r="F2509" s="8" t="s">
        <v>16</v>
      </c>
      <c r="G2509" s="8" t="s">
        <v>686</v>
      </c>
      <c r="H2509" s="8"/>
      <c r="I2509" s="9" t="n">
        <v>37408</v>
      </c>
      <c r="J2509" s="8" t="s">
        <v>19</v>
      </c>
      <c r="K2509" s="8"/>
    </row>
    <row r="2510" customFormat="false" ht="12.8" hidden="false" customHeight="false" outlineLevel="0" collapsed="false">
      <c r="A2510" s="8" t="str">
        <f aca="false">HYPERLINK("https://www.fabsurplus.com/sdi_catalog/salesItemDetails.do?id=100308")</f>
        <v>https://www.fabsurplus.com/sdi_catalog/salesItemDetails.do?id=100308</v>
      </c>
      <c r="B2510" s="8" t="s">
        <v>5704</v>
      </c>
      <c r="C2510" s="8" t="s">
        <v>5436</v>
      </c>
      <c r="D2510" s="8" t="s">
        <v>5705</v>
      </c>
      <c r="E2510" s="8" t="s">
        <v>874</v>
      </c>
      <c r="F2510" s="8" t="s">
        <v>16</v>
      </c>
      <c r="G2510" s="8" t="s">
        <v>686</v>
      </c>
      <c r="H2510" s="8"/>
      <c r="I2510" s="9" t="n">
        <v>37773</v>
      </c>
      <c r="J2510" s="8" t="s">
        <v>19</v>
      </c>
      <c r="K2510" s="8"/>
    </row>
    <row r="2511" customFormat="false" ht="12.8" hidden="false" customHeight="false" outlineLevel="0" collapsed="false">
      <c r="A2511" s="8" t="str">
        <f aca="false">HYPERLINK("https://www.fabsurplus.com/sdi_catalog/salesItemDetails.do?id=98184")</f>
        <v>https://www.fabsurplus.com/sdi_catalog/salesItemDetails.do?id=98184</v>
      </c>
      <c r="B2511" s="8" t="s">
        <v>5706</v>
      </c>
      <c r="C2511" s="8" t="s">
        <v>5436</v>
      </c>
      <c r="D2511" s="8" t="s">
        <v>5707</v>
      </c>
      <c r="E2511" s="8" t="s">
        <v>5708</v>
      </c>
      <c r="F2511" s="8" t="s">
        <v>16</v>
      </c>
      <c r="G2511" s="8" t="s">
        <v>310</v>
      </c>
      <c r="H2511" s="8"/>
      <c r="I2511" s="9" t="n">
        <v>38139</v>
      </c>
      <c r="J2511" s="8" t="s">
        <v>19</v>
      </c>
      <c r="K2511" s="8"/>
    </row>
    <row r="2512" customFormat="false" ht="12.8" hidden="false" customHeight="false" outlineLevel="0" collapsed="false">
      <c r="A2512" s="8" t="str">
        <f aca="false">HYPERLINK("https://www.fabsurplus.com/sdi_catalog/salesItemDetails.do?id=98188")</f>
        <v>https://www.fabsurplus.com/sdi_catalog/salesItemDetails.do?id=98188</v>
      </c>
      <c r="B2512" s="8" t="s">
        <v>5709</v>
      </c>
      <c r="C2512" s="8" t="s">
        <v>5436</v>
      </c>
      <c r="D2512" s="8" t="s">
        <v>5710</v>
      </c>
      <c r="E2512" s="8" t="s">
        <v>5708</v>
      </c>
      <c r="F2512" s="8" t="s">
        <v>16</v>
      </c>
      <c r="G2512" s="8" t="s">
        <v>310</v>
      </c>
      <c r="H2512" s="8"/>
      <c r="I2512" s="9" t="n">
        <v>39234</v>
      </c>
      <c r="J2512" s="8" t="s">
        <v>19</v>
      </c>
      <c r="K2512" s="8"/>
    </row>
    <row r="2513" customFormat="false" ht="12.8" hidden="false" customHeight="false" outlineLevel="0" collapsed="false">
      <c r="A2513" s="8" t="str">
        <f aca="false">HYPERLINK("https://www.fabsurplus.com/sdi_catalog/salesItemDetails.do?id=98187")</f>
        <v>https://www.fabsurplus.com/sdi_catalog/salesItemDetails.do?id=98187</v>
      </c>
      <c r="B2513" s="8" t="s">
        <v>5711</v>
      </c>
      <c r="C2513" s="8" t="s">
        <v>5436</v>
      </c>
      <c r="D2513" s="8" t="s">
        <v>5710</v>
      </c>
      <c r="E2513" s="8" t="s">
        <v>5708</v>
      </c>
      <c r="F2513" s="8" t="s">
        <v>16</v>
      </c>
      <c r="G2513" s="8" t="s">
        <v>310</v>
      </c>
      <c r="H2513" s="8"/>
      <c r="I2513" s="9" t="n">
        <v>39234</v>
      </c>
      <c r="J2513" s="8" t="s">
        <v>19</v>
      </c>
      <c r="K2513" s="8"/>
    </row>
    <row r="2514" customFormat="false" ht="12.8" hidden="false" customHeight="false" outlineLevel="0" collapsed="false">
      <c r="A2514" s="8" t="str">
        <f aca="false">HYPERLINK("https://www.fabsurplus.com/sdi_catalog/salesItemDetails.do?id=98186")</f>
        <v>https://www.fabsurplus.com/sdi_catalog/salesItemDetails.do?id=98186</v>
      </c>
      <c r="B2514" s="8" t="s">
        <v>5712</v>
      </c>
      <c r="C2514" s="8" t="s">
        <v>5436</v>
      </c>
      <c r="D2514" s="8" t="s">
        <v>5710</v>
      </c>
      <c r="E2514" s="8" t="s">
        <v>5708</v>
      </c>
      <c r="F2514" s="8" t="s">
        <v>16</v>
      </c>
      <c r="G2514" s="8" t="s">
        <v>310</v>
      </c>
      <c r="H2514" s="8"/>
      <c r="I2514" s="9" t="n">
        <v>38139</v>
      </c>
      <c r="J2514" s="8" t="s">
        <v>19</v>
      </c>
      <c r="K2514" s="8"/>
    </row>
    <row r="2515" customFormat="false" ht="12.8" hidden="false" customHeight="false" outlineLevel="0" collapsed="false">
      <c r="A2515" s="8" t="str">
        <f aca="false">HYPERLINK("https://www.fabsurplus.com/sdi_catalog/salesItemDetails.do?id=98185")</f>
        <v>https://www.fabsurplus.com/sdi_catalog/salesItemDetails.do?id=98185</v>
      </c>
      <c r="B2515" s="8" t="s">
        <v>5713</v>
      </c>
      <c r="C2515" s="8" t="s">
        <v>5436</v>
      </c>
      <c r="D2515" s="8" t="s">
        <v>5710</v>
      </c>
      <c r="E2515" s="8" t="s">
        <v>5708</v>
      </c>
      <c r="F2515" s="8" t="s">
        <v>16</v>
      </c>
      <c r="G2515" s="8" t="s">
        <v>310</v>
      </c>
      <c r="H2515" s="8"/>
      <c r="I2515" s="9" t="n">
        <v>37773</v>
      </c>
      <c r="J2515" s="8" t="s">
        <v>19</v>
      </c>
      <c r="K2515" s="8"/>
    </row>
    <row r="2516" customFormat="false" ht="12.8" hidden="false" customHeight="false" outlineLevel="0" collapsed="false">
      <c r="A2516" s="8" t="str">
        <f aca="false">HYPERLINK("https://www.fabsurplus.com/sdi_catalog/salesItemDetails.do?id=97814")</f>
        <v>https://www.fabsurplus.com/sdi_catalog/salesItemDetails.do?id=97814</v>
      </c>
      <c r="B2516" s="8" t="s">
        <v>5714</v>
      </c>
      <c r="C2516" s="8" t="s">
        <v>5436</v>
      </c>
      <c r="D2516" s="8" t="s">
        <v>5715</v>
      </c>
      <c r="E2516" s="8" t="s">
        <v>874</v>
      </c>
      <c r="F2516" s="8" t="s">
        <v>16</v>
      </c>
      <c r="G2516" s="8" t="s">
        <v>310</v>
      </c>
      <c r="H2516" s="8"/>
      <c r="I2516" s="8"/>
      <c r="J2516" s="8" t="s">
        <v>19</v>
      </c>
      <c r="K2516" s="8"/>
    </row>
    <row r="2517" customFormat="false" ht="12.8" hidden="false" customHeight="false" outlineLevel="0" collapsed="false">
      <c r="A2517" s="8" t="str">
        <f aca="false">HYPERLINK("https://www.fabsurplus.com/sdi_catalog/salesItemDetails.do?id=100309")</f>
        <v>https://www.fabsurplus.com/sdi_catalog/salesItemDetails.do?id=100309</v>
      </c>
      <c r="B2517" s="8" t="s">
        <v>5716</v>
      </c>
      <c r="C2517" s="8" t="s">
        <v>5436</v>
      </c>
      <c r="D2517" s="8" t="s">
        <v>5717</v>
      </c>
      <c r="E2517" s="8" t="s">
        <v>874</v>
      </c>
      <c r="F2517" s="8" t="s">
        <v>16</v>
      </c>
      <c r="G2517" s="8" t="s">
        <v>686</v>
      </c>
      <c r="H2517" s="8"/>
      <c r="I2517" s="8"/>
      <c r="J2517" s="8" t="s">
        <v>19</v>
      </c>
      <c r="K2517" s="8"/>
    </row>
    <row r="2518" customFormat="false" ht="12.8" hidden="false" customHeight="false" outlineLevel="0" collapsed="false">
      <c r="A2518" s="6" t="str">
        <f aca="false">HYPERLINK("https://www.fabsurplus.com/sdi_catalog/salesItemDetails.do?id=97817")</f>
        <v>https://www.fabsurplus.com/sdi_catalog/salesItemDetails.do?id=97817</v>
      </c>
      <c r="B2518" s="6" t="s">
        <v>5718</v>
      </c>
      <c r="C2518" s="6" t="s">
        <v>5436</v>
      </c>
      <c r="D2518" s="6" t="s">
        <v>5717</v>
      </c>
      <c r="E2518" s="6" t="s">
        <v>874</v>
      </c>
      <c r="F2518" s="6" t="s">
        <v>16</v>
      </c>
      <c r="G2518" s="6" t="s">
        <v>310</v>
      </c>
      <c r="H2518" s="6" t="s">
        <v>18</v>
      </c>
      <c r="I2518" s="7" t="n">
        <v>39234</v>
      </c>
      <c r="J2518" s="6" t="s">
        <v>81</v>
      </c>
      <c r="K2518" s="6" t="s">
        <v>20</v>
      </c>
    </row>
    <row r="2519" customFormat="false" ht="12.8" hidden="false" customHeight="false" outlineLevel="0" collapsed="false">
      <c r="A2519" s="6" t="str">
        <f aca="false">HYPERLINK("https://www.fabsurplus.com/sdi_catalog/salesItemDetails.do?id=98436")</f>
        <v>https://www.fabsurplus.com/sdi_catalog/salesItemDetails.do?id=98436</v>
      </c>
      <c r="B2519" s="6" t="s">
        <v>5719</v>
      </c>
      <c r="C2519" s="6" t="s">
        <v>5436</v>
      </c>
      <c r="D2519" s="6" t="s">
        <v>5720</v>
      </c>
      <c r="E2519" s="6" t="s">
        <v>5721</v>
      </c>
      <c r="F2519" s="6" t="s">
        <v>16</v>
      </c>
      <c r="G2519" s="6" t="s">
        <v>310</v>
      </c>
      <c r="H2519" s="6"/>
      <c r="I2519" s="6"/>
      <c r="J2519" s="6" t="s">
        <v>19</v>
      </c>
      <c r="K2519" s="6"/>
    </row>
    <row r="2520" customFormat="false" ht="12.8" hidden="false" customHeight="false" outlineLevel="0" collapsed="false">
      <c r="A2520" s="8" t="str">
        <f aca="false">HYPERLINK("https://www.fabsurplus.com/sdi_catalog/salesItemDetails.do?id=98307")</f>
        <v>https://www.fabsurplus.com/sdi_catalog/salesItemDetails.do?id=98307</v>
      </c>
      <c r="B2520" s="8" t="s">
        <v>5722</v>
      </c>
      <c r="C2520" s="8" t="s">
        <v>5436</v>
      </c>
      <c r="D2520" s="8" t="s">
        <v>5723</v>
      </c>
      <c r="E2520" s="8" t="s">
        <v>1681</v>
      </c>
      <c r="F2520" s="8" t="s">
        <v>16</v>
      </c>
      <c r="G2520" s="8" t="s">
        <v>310</v>
      </c>
      <c r="H2520" s="8"/>
      <c r="I2520" s="8"/>
      <c r="J2520" s="8" t="s">
        <v>19</v>
      </c>
      <c r="K2520" s="8"/>
    </row>
    <row r="2521" customFormat="false" ht="12.8" hidden="false" customHeight="false" outlineLevel="0" collapsed="false">
      <c r="A2521" s="6" t="str">
        <f aca="false">HYPERLINK("https://www.fabsurplus.com/sdi_catalog/salesItemDetails.do?id=98194")</f>
        <v>https://www.fabsurplus.com/sdi_catalog/salesItemDetails.do?id=98194</v>
      </c>
      <c r="B2521" s="6" t="s">
        <v>5724</v>
      </c>
      <c r="C2521" s="6" t="s">
        <v>5436</v>
      </c>
      <c r="D2521" s="6" t="s">
        <v>5720</v>
      </c>
      <c r="E2521" s="6" t="s">
        <v>5725</v>
      </c>
      <c r="F2521" s="6" t="s">
        <v>16</v>
      </c>
      <c r="G2521" s="6" t="s">
        <v>310</v>
      </c>
      <c r="H2521" s="6"/>
      <c r="I2521" s="7" t="n">
        <v>42522</v>
      </c>
      <c r="J2521" s="6" t="s">
        <v>19</v>
      </c>
      <c r="K2521" s="6"/>
    </row>
    <row r="2522" customFormat="false" ht="12.8" hidden="false" customHeight="false" outlineLevel="0" collapsed="false">
      <c r="A2522" s="8" t="str">
        <f aca="false">HYPERLINK("https://www.fabsurplus.com/sdi_catalog/salesItemDetails.do?id=98193")</f>
        <v>https://www.fabsurplus.com/sdi_catalog/salesItemDetails.do?id=98193</v>
      </c>
      <c r="B2522" s="8" t="s">
        <v>5726</v>
      </c>
      <c r="C2522" s="8" t="s">
        <v>5436</v>
      </c>
      <c r="D2522" s="8" t="s">
        <v>5720</v>
      </c>
      <c r="E2522" s="8" t="s">
        <v>5725</v>
      </c>
      <c r="F2522" s="8" t="s">
        <v>16</v>
      </c>
      <c r="G2522" s="8" t="s">
        <v>310</v>
      </c>
      <c r="H2522" s="8"/>
      <c r="I2522" s="8"/>
      <c r="J2522" s="8" t="s">
        <v>19</v>
      </c>
      <c r="K2522" s="8"/>
    </row>
    <row r="2523" customFormat="false" ht="12.8" hidden="false" customHeight="false" outlineLevel="0" collapsed="false">
      <c r="A2523" s="8" t="str">
        <f aca="false">HYPERLINK("https://www.fabsurplus.com/sdi_catalog/salesItemDetails.do?id=98192")</f>
        <v>https://www.fabsurplus.com/sdi_catalog/salesItemDetails.do?id=98192</v>
      </c>
      <c r="B2523" s="8" t="s">
        <v>5727</v>
      </c>
      <c r="C2523" s="8" t="s">
        <v>5436</v>
      </c>
      <c r="D2523" s="8" t="s">
        <v>5720</v>
      </c>
      <c r="E2523" s="8" t="s">
        <v>5725</v>
      </c>
      <c r="F2523" s="8" t="s">
        <v>16</v>
      </c>
      <c r="G2523" s="8" t="s">
        <v>310</v>
      </c>
      <c r="H2523" s="8"/>
      <c r="I2523" s="8"/>
      <c r="J2523" s="8" t="s">
        <v>19</v>
      </c>
      <c r="K2523" s="8"/>
    </row>
    <row r="2524" customFormat="false" ht="12.8" hidden="false" customHeight="false" outlineLevel="0" collapsed="false">
      <c r="A2524" s="6" t="str">
        <f aca="false">HYPERLINK("https://www.fabsurplus.com/sdi_catalog/salesItemDetails.do?id=98191")</f>
        <v>https://www.fabsurplus.com/sdi_catalog/salesItemDetails.do?id=98191</v>
      </c>
      <c r="B2524" s="6" t="s">
        <v>5728</v>
      </c>
      <c r="C2524" s="6" t="s">
        <v>5436</v>
      </c>
      <c r="D2524" s="6" t="s">
        <v>5720</v>
      </c>
      <c r="E2524" s="6" t="s">
        <v>5725</v>
      </c>
      <c r="F2524" s="6" t="s">
        <v>16</v>
      </c>
      <c r="G2524" s="6" t="s">
        <v>310</v>
      </c>
      <c r="H2524" s="6"/>
      <c r="I2524" s="7" t="n">
        <v>42522</v>
      </c>
      <c r="J2524" s="6" t="s">
        <v>19</v>
      </c>
      <c r="K2524" s="6"/>
    </row>
    <row r="2525" customFormat="false" ht="12.8" hidden="false" customHeight="false" outlineLevel="0" collapsed="false">
      <c r="A2525" s="6" t="str">
        <f aca="false">HYPERLINK("https://www.fabsurplus.com/sdi_catalog/salesItemDetails.do?id=98190")</f>
        <v>https://www.fabsurplus.com/sdi_catalog/salesItemDetails.do?id=98190</v>
      </c>
      <c r="B2525" s="6" t="s">
        <v>5729</v>
      </c>
      <c r="C2525" s="6" t="s">
        <v>5436</v>
      </c>
      <c r="D2525" s="6" t="s">
        <v>5720</v>
      </c>
      <c r="E2525" s="6" t="s">
        <v>5725</v>
      </c>
      <c r="F2525" s="6" t="s">
        <v>16</v>
      </c>
      <c r="G2525" s="6" t="s">
        <v>310</v>
      </c>
      <c r="H2525" s="6"/>
      <c r="I2525" s="7" t="n">
        <v>42522</v>
      </c>
      <c r="J2525" s="6" t="s">
        <v>19</v>
      </c>
      <c r="K2525" s="6"/>
    </row>
    <row r="2526" customFormat="false" ht="12.8" hidden="false" customHeight="false" outlineLevel="0" collapsed="false">
      <c r="A2526" s="8" t="str">
        <f aca="false">HYPERLINK("https://www.fabsurplus.com/sdi_catalog/salesItemDetails.do?id=98843")</f>
        <v>https://www.fabsurplus.com/sdi_catalog/salesItemDetails.do?id=98843</v>
      </c>
      <c r="B2526" s="8" t="s">
        <v>5730</v>
      </c>
      <c r="C2526" s="8" t="s">
        <v>5436</v>
      </c>
      <c r="D2526" s="8" t="s">
        <v>5723</v>
      </c>
      <c r="E2526" s="8" t="s">
        <v>1432</v>
      </c>
      <c r="F2526" s="8" t="s">
        <v>16</v>
      </c>
      <c r="G2526" s="8" t="s">
        <v>310</v>
      </c>
      <c r="H2526" s="8"/>
      <c r="I2526" s="9" t="n">
        <v>41791</v>
      </c>
      <c r="J2526" s="8" t="s">
        <v>19</v>
      </c>
      <c r="K2526" s="8"/>
    </row>
    <row r="2527" customFormat="false" ht="12.8" hidden="false" customHeight="false" outlineLevel="0" collapsed="false">
      <c r="A2527" s="8" t="str">
        <f aca="false">HYPERLINK("https://www.fabsurplus.com/sdi_catalog/salesItemDetails.do?id=97038")</f>
        <v>https://www.fabsurplus.com/sdi_catalog/salesItemDetails.do?id=97038</v>
      </c>
      <c r="B2527" s="8" t="s">
        <v>5731</v>
      </c>
      <c r="C2527" s="8" t="s">
        <v>5436</v>
      </c>
      <c r="D2527" s="8" t="s">
        <v>5723</v>
      </c>
      <c r="E2527" s="8" t="s">
        <v>5732</v>
      </c>
      <c r="F2527" s="8" t="s">
        <v>16</v>
      </c>
      <c r="G2527" s="8" t="s">
        <v>310</v>
      </c>
      <c r="H2527" s="8"/>
      <c r="I2527" s="9" t="n">
        <v>39600</v>
      </c>
      <c r="J2527" s="8" t="s">
        <v>19</v>
      </c>
      <c r="K2527" s="8"/>
    </row>
    <row r="2528" customFormat="false" ht="12.8" hidden="false" customHeight="false" outlineLevel="0" collapsed="false">
      <c r="A2528" s="8" t="str">
        <f aca="false">HYPERLINK("https://www.fabsurplus.com/sdi_catalog/salesItemDetails.do?id=98189")</f>
        <v>https://www.fabsurplus.com/sdi_catalog/salesItemDetails.do?id=98189</v>
      </c>
      <c r="B2528" s="8" t="s">
        <v>5733</v>
      </c>
      <c r="C2528" s="8" t="s">
        <v>5436</v>
      </c>
      <c r="D2528" s="8" t="s">
        <v>5720</v>
      </c>
      <c r="E2528" s="8" t="s">
        <v>5734</v>
      </c>
      <c r="F2528" s="8" t="s">
        <v>16</v>
      </c>
      <c r="G2528" s="8" t="s">
        <v>310</v>
      </c>
      <c r="H2528" s="8"/>
      <c r="I2528" s="9" t="n">
        <v>40695</v>
      </c>
      <c r="J2528" s="8" t="s">
        <v>19</v>
      </c>
      <c r="K2528" s="8"/>
    </row>
    <row r="2529" customFormat="false" ht="12.8" hidden="false" customHeight="false" outlineLevel="0" collapsed="false">
      <c r="A2529" s="8" t="str">
        <f aca="false">HYPERLINK("https://www.fabsurplus.com/sdi_catalog/salesItemDetails.do?id=100313")</f>
        <v>https://www.fabsurplus.com/sdi_catalog/salesItemDetails.do?id=100313</v>
      </c>
      <c r="B2529" s="8" t="s">
        <v>5735</v>
      </c>
      <c r="C2529" s="8" t="s">
        <v>5436</v>
      </c>
      <c r="D2529" s="8" t="s">
        <v>5736</v>
      </c>
      <c r="E2529" s="8" t="s">
        <v>4590</v>
      </c>
      <c r="F2529" s="8" t="s">
        <v>16</v>
      </c>
      <c r="G2529" s="8" t="s">
        <v>686</v>
      </c>
      <c r="H2529" s="8"/>
      <c r="I2529" s="8"/>
      <c r="J2529" s="8" t="s">
        <v>19</v>
      </c>
      <c r="K2529" s="8"/>
    </row>
    <row r="2530" customFormat="false" ht="12.8" hidden="false" customHeight="false" outlineLevel="0" collapsed="false">
      <c r="A2530" s="8" t="str">
        <f aca="false">HYPERLINK("https://www.fabsurplus.com/sdi_catalog/salesItemDetails.do?id=100312")</f>
        <v>https://www.fabsurplus.com/sdi_catalog/salesItemDetails.do?id=100312</v>
      </c>
      <c r="B2530" s="8" t="s">
        <v>5737</v>
      </c>
      <c r="C2530" s="8" t="s">
        <v>5436</v>
      </c>
      <c r="D2530" s="8" t="s">
        <v>5736</v>
      </c>
      <c r="E2530" s="8" t="s">
        <v>4590</v>
      </c>
      <c r="F2530" s="8" t="s">
        <v>16</v>
      </c>
      <c r="G2530" s="8" t="s">
        <v>686</v>
      </c>
      <c r="H2530" s="8"/>
      <c r="I2530" s="8"/>
      <c r="J2530" s="8" t="s">
        <v>19</v>
      </c>
      <c r="K2530" s="8"/>
    </row>
    <row r="2531" customFormat="false" ht="12.8" hidden="false" customHeight="false" outlineLevel="0" collapsed="false">
      <c r="A2531" s="8" t="str">
        <f aca="false">HYPERLINK("https://www.fabsurplus.com/sdi_catalog/salesItemDetails.do?id=100311")</f>
        <v>https://www.fabsurplus.com/sdi_catalog/salesItemDetails.do?id=100311</v>
      </c>
      <c r="B2531" s="8" t="s">
        <v>5738</v>
      </c>
      <c r="C2531" s="8" t="s">
        <v>5436</v>
      </c>
      <c r="D2531" s="8" t="s">
        <v>5736</v>
      </c>
      <c r="E2531" s="8" t="s">
        <v>4590</v>
      </c>
      <c r="F2531" s="8" t="s">
        <v>16</v>
      </c>
      <c r="G2531" s="8" t="s">
        <v>686</v>
      </c>
      <c r="H2531" s="8"/>
      <c r="I2531" s="8"/>
      <c r="J2531" s="8" t="s">
        <v>19</v>
      </c>
      <c r="K2531" s="8"/>
    </row>
    <row r="2532" customFormat="false" ht="12.8" hidden="false" customHeight="false" outlineLevel="0" collapsed="false">
      <c r="A2532" s="8" t="str">
        <f aca="false">HYPERLINK("https://www.fabsurplus.com/sdi_catalog/salesItemDetails.do?id=100310")</f>
        <v>https://www.fabsurplus.com/sdi_catalog/salesItemDetails.do?id=100310</v>
      </c>
      <c r="B2532" s="8" t="s">
        <v>5739</v>
      </c>
      <c r="C2532" s="8" t="s">
        <v>5436</v>
      </c>
      <c r="D2532" s="8" t="s">
        <v>5736</v>
      </c>
      <c r="E2532" s="8" t="s">
        <v>4590</v>
      </c>
      <c r="F2532" s="8" t="s">
        <v>16</v>
      </c>
      <c r="G2532" s="8" t="s">
        <v>686</v>
      </c>
      <c r="H2532" s="8"/>
      <c r="I2532" s="8"/>
      <c r="J2532" s="8" t="s">
        <v>19</v>
      </c>
      <c r="K2532" s="8"/>
    </row>
    <row r="2533" customFormat="false" ht="12.8" hidden="false" customHeight="false" outlineLevel="0" collapsed="false">
      <c r="A2533" s="8" t="str">
        <f aca="false">HYPERLINK("https://www.fabsurplus.com/sdi_catalog/salesItemDetails.do?id=100315")</f>
        <v>https://www.fabsurplus.com/sdi_catalog/salesItemDetails.do?id=100315</v>
      </c>
      <c r="B2533" s="8" t="s">
        <v>5740</v>
      </c>
      <c r="C2533" s="8" t="s">
        <v>5436</v>
      </c>
      <c r="D2533" s="8" t="s">
        <v>5741</v>
      </c>
      <c r="E2533" s="8" t="s">
        <v>5742</v>
      </c>
      <c r="F2533" s="8" t="s">
        <v>16</v>
      </c>
      <c r="G2533" s="8" t="s">
        <v>686</v>
      </c>
      <c r="H2533" s="8"/>
      <c r="I2533" s="8"/>
      <c r="J2533" s="8" t="s">
        <v>19</v>
      </c>
      <c r="K2533" s="8"/>
    </row>
    <row r="2534" customFormat="false" ht="12.8" hidden="false" customHeight="false" outlineLevel="0" collapsed="false">
      <c r="A2534" s="6" t="str">
        <f aca="false">HYPERLINK("https://www.fabsurplus.com/sdi_catalog/salesItemDetails.do?id=100314")</f>
        <v>https://www.fabsurplus.com/sdi_catalog/salesItemDetails.do?id=100314</v>
      </c>
      <c r="B2534" s="6" t="s">
        <v>5743</v>
      </c>
      <c r="C2534" s="6" t="s">
        <v>5436</v>
      </c>
      <c r="D2534" s="6" t="s">
        <v>5741</v>
      </c>
      <c r="E2534" s="6" t="s">
        <v>5742</v>
      </c>
      <c r="F2534" s="6" t="s">
        <v>16</v>
      </c>
      <c r="G2534" s="6" t="s">
        <v>686</v>
      </c>
      <c r="H2534" s="6"/>
      <c r="I2534" s="7" t="n">
        <v>39234</v>
      </c>
      <c r="J2534" s="6" t="s">
        <v>19</v>
      </c>
      <c r="K2534" s="6"/>
    </row>
    <row r="2535" customFormat="false" ht="12.8" hidden="false" customHeight="false" outlineLevel="0" collapsed="false">
      <c r="A2535" s="6" t="str">
        <f aca="false">HYPERLINK("https://www.fabsurplus.com/sdi_catalog/salesItemDetails.do?id=97824")</f>
        <v>https://www.fabsurplus.com/sdi_catalog/salesItemDetails.do?id=97824</v>
      </c>
      <c r="B2535" s="6" t="s">
        <v>5744</v>
      </c>
      <c r="C2535" s="6" t="s">
        <v>5436</v>
      </c>
      <c r="D2535" s="6" t="s">
        <v>5741</v>
      </c>
      <c r="E2535" s="6" t="s">
        <v>5742</v>
      </c>
      <c r="F2535" s="6" t="s">
        <v>16</v>
      </c>
      <c r="G2535" s="6" t="s">
        <v>310</v>
      </c>
      <c r="H2535" s="6"/>
      <c r="I2535" s="6"/>
      <c r="J2535" s="6" t="s">
        <v>19</v>
      </c>
      <c r="K2535" s="6"/>
    </row>
    <row r="2536" customFormat="false" ht="12.8" hidden="false" customHeight="false" outlineLevel="0" collapsed="false">
      <c r="A2536" s="8" t="str">
        <f aca="false">HYPERLINK("https://www.fabsurplus.com/sdi_catalog/salesItemDetails.do?id=97822")</f>
        <v>https://www.fabsurplus.com/sdi_catalog/salesItemDetails.do?id=97822</v>
      </c>
      <c r="B2536" s="8" t="s">
        <v>5745</v>
      </c>
      <c r="C2536" s="8" t="s">
        <v>5436</v>
      </c>
      <c r="D2536" s="8" t="s">
        <v>5741</v>
      </c>
      <c r="E2536" s="8" t="s">
        <v>5742</v>
      </c>
      <c r="F2536" s="8" t="s">
        <v>16</v>
      </c>
      <c r="G2536" s="8" t="s">
        <v>310</v>
      </c>
      <c r="H2536" s="8"/>
      <c r="I2536" s="8"/>
      <c r="J2536" s="8" t="s">
        <v>19</v>
      </c>
      <c r="K2536" s="8"/>
    </row>
    <row r="2537" customFormat="false" ht="12.8" hidden="false" customHeight="false" outlineLevel="0" collapsed="false">
      <c r="A2537" s="8" t="str">
        <f aca="false">HYPERLINK("https://www.fabsurplus.com/sdi_catalog/salesItemDetails.do?id=97821")</f>
        <v>https://www.fabsurplus.com/sdi_catalog/salesItemDetails.do?id=97821</v>
      </c>
      <c r="B2537" s="8" t="s">
        <v>5746</v>
      </c>
      <c r="C2537" s="8" t="s">
        <v>5436</v>
      </c>
      <c r="D2537" s="8" t="s">
        <v>5741</v>
      </c>
      <c r="E2537" s="8" t="s">
        <v>5742</v>
      </c>
      <c r="F2537" s="8" t="s">
        <v>16</v>
      </c>
      <c r="G2537" s="8" t="s">
        <v>310</v>
      </c>
      <c r="H2537" s="8"/>
      <c r="I2537" s="8"/>
      <c r="J2537" s="8" t="s">
        <v>19</v>
      </c>
      <c r="K2537" s="8"/>
    </row>
    <row r="2538" customFormat="false" ht="12.8" hidden="false" customHeight="false" outlineLevel="0" collapsed="false">
      <c r="A2538" s="8" t="str">
        <f aca="false">HYPERLINK("https://www.fabsurplus.com/sdi_catalog/salesItemDetails.do?id=96960")</f>
        <v>https://www.fabsurplus.com/sdi_catalog/salesItemDetails.do?id=96960</v>
      </c>
      <c r="B2538" s="8" t="s">
        <v>5747</v>
      </c>
      <c r="C2538" s="8" t="s">
        <v>5436</v>
      </c>
      <c r="D2538" s="8" t="s">
        <v>5741</v>
      </c>
      <c r="E2538" s="8" t="s">
        <v>5742</v>
      </c>
      <c r="F2538" s="8" t="s">
        <v>16</v>
      </c>
      <c r="G2538" s="8" t="s">
        <v>310</v>
      </c>
      <c r="H2538" s="8"/>
      <c r="I2538" s="9" t="n">
        <v>37773</v>
      </c>
      <c r="J2538" s="8" t="s">
        <v>19</v>
      </c>
      <c r="K2538" s="8"/>
    </row>
    <row r="2539" customFormat="false" ht="12.8" hidden="false" customHeight="false" outlineLevel="0" collapsed="false">
      <c r="A2539" s="6" t="str">
        <f aca="false">HYPERLINK("https://www.fabsurplus.com/sdi_catalog/salesItemDetails.do?id=100318")</f>
        <v>https://www.fabsurplus.com/sdi_catalog/salesItemDetails.do?id=100318</v>
      </c>
      <c r="B2539" s="6" t="s">
        <v>5748</v>
      </c>
      <c r="C2539" s="6" t="s">
        <v>5436</v>
      </c>
      <c r="D2539" s="6" t="s">
        <v>5749</v>
      </c>
      <c r="E2539" s="6" t="s">
        <v>4590</v>
      </c>
      <c r="F2539" s="6" t="s">
        <v>16</v>
      </c>
      <c r="G2539" s="6" t="s">
        <v>686</v>
      </c>
      <c r="H2539" s="6"/>
      <c r="I2539" s="6"/>
      <c r="J2539" s="6" t="s">
        <v>19</v>
      </c>
      <c r="K2539" s="6"/>
    </row>
    <row r="2540" customFormat="false" ht="12.8" hidden="false" customHeight="false" outlineLevel="0" collapsed="false">
      <c r="A2540" s="8" t="str">
        <f aca="false">HYPERLINK("https://www.fabsurplus.com/sdi_catalog/salesItemDetails.do?id=100317")</f>
        <v>https://www.fabsurplus.com/sdi_catalog/salesItemDetails.do?id=100317</v>
      </c>
      <c r="B2540" s="8" t="s">
        <v>5750</v>
      </c>
      <c r="C2540" s="8" t="s">
        <v>5436</v>
      </c>
      <c r="D2540" s="8" t="s">
        <v>5749</v>
      </c>
      <c r="E2540" s="8" t="s">
        <v>4590</v>
      </c>
      <c r="F2540" s="8" t="s">
        <v>16</v>
      </c>
      <c r="G2540" s="8" t="s">
        <v>686</v>
      </c>
      <c r="H2540" s="8"/>
      <c r="I2540" s="8"/>
      <c r="J2540" s="8" t="s">
        <v>19</v>
      </c>
      <c r="K2540" s="8"/>
    </row>
    <row r="2541" customFormat="false" ht="12.8" hidden="false" customHeight="false" outlineLevel="0" collapsed="false">
      <c r="A2541" s="8" t="str">
        <f aca="false">HYPERLINK("https://www.fabsurplus.com/sdi_catalog/salesItemDetails.do?id=100316")</f>
        <v>https://www.fabsurplus.com/sdi_catalog/salesItemDetails.do?id=100316</v>
      </c>
      <c r="B2541" s="8" t="s">
        <v>5751</v>
      </c>
      <c r="C2541" s="8" t="s">
        <v>5436</v>
      </c>
      <c r="D2541" s="8" t="s">
        <v>5749</v>
      </c>
      <c r="E2541" s="8" t="s">
        <v>4590</v>
      </c>
      <c r="F2541" s="8" t="s">
        <v>16</v>
      </c>
      <c r="G2541" s="8" t="s">
        <v>686</v>
      </c>
      <c r="H2541" s="8"/>
      <c r="I2541" s="8"/>
      <c r="J2541" s="8" t="s">
        <v>19</v>
      </c>
      <c r="K2541" s="8"/>
    </row>
    <row r="2542" customFormat="false" ht="12.8" hidden="false" customHeight="false" outlineLevel="0" collapsed="false">
      <c r="A2542" s="6" t="str">
        <f aca="false">HYPERLINK("https://www.fabsurplus.com/sdi_catalog/salesItemDetails.do?id=100320")</f>
        <v>https://www.fabsurplus.com/sdi_catalog/salesItemDetails.do?id=100320</v>
      </c>
      <c r="B2542" s="6" t="s">
        <v>5752</v>
      </c>
      <c r="C2542" s="6" t="s">
        <v>5436</v>
      </c>
      <c r="D2542" s="6" t="s">
        <v>5753</v>
      </c>
      <c r="E2542" s="6" t="s">
        <v>5754</v>
      </c>
      <c r="F2542" s="6" t="s">
        <v>16</v>
      </c>
      <c r="G2542" s="6" t="s">
        <v>686</v>
      </c>
      <c r="H2542" s="6"/>
      <c r="I2542" s="6"/>
      <c r="J2542" s="6" t="s">
        <v>19</v>
      </c>
      <c r="K2542" s="6"/>
    </row>
    <row r="2543" customFormat="false" ht="12.8" hidden="false" customHeight="false" outlineLevel="0" collapsed="false">
      <c r="A2543" s="8" t="str">
        <f aca="false">HYPERLINK("https://www.fabsurplus.com/sdi_catalog/salesItemDetails.do?id=100319")</f>
        <v>https://www.fabsurplus.com/sdi_catalog/salesItemDetails.do?id=100319</v>
      </c>
      <c r="B2543" s="8" t="s">
        <v>5755</v>
      </c>
      <c r="C2543" s="8" t="s">
        <v>5436</v>
      </c>
      <c r="D2543" s="8" t="s">
        <v>5753</v>
      </c>
      <c r="E2543" s="8" t="s">
        <v>5754</v>
      </c>
      <c r="F2543" s="8" t="s">
        <v>16</v>
      </c>
      <c r="G2543" s="8" t="s">
        <v>686</v>
      </c>
      <c r="H2543" s="8"/>
      <c r="I2543" s="8"/>
      <c r="J2543" s="8" t="s">
        <v>19</v>
      </c>
      <c r="K2543" s="8"/>
    </row>
    <row r="2544" customFormat="false" ht="12.8" hidden="false" customHeight="false" outlineLevel="0" collapsed="false">
      <c r="A2544" s="6" t="str">
        <f aca="false">HYPERLINK("https://www.fabsurplus.com/sdi_catalog/salesItemDetails.do?id=97826")</f>
        <v>https://www.fabsurplus.com/sdi_catalog/salesItemDetails.do?id=97826</v>
      </c>
      <c r="B2544" s="6" t="s">
        <v>5756</v>
      </c>
      <c r="C2544" s="6" t="s">
        <v>5436</v>
      </c>
      <c r="D2544" s="6" t="s">
        <v>5757</v>
      </c>
      <c r="E2544" s="6" t="s">
        <v>5742</v>
      </c>
      <c r="F2544" s="6" t="s">
        <v>16</v>
      </c>
      <c r="G2544" s="6" t="s">
        <v>310</v>
      </c>
      <c r="H2544" s="6"/>
      <c r="I2544" s="6"/>
      <c r="J2544" s="6" t="s">
        <v>19</v>
      </c>
      <c r="K2544" s="6"/>
    </row>
    <row r="2545" customFormat="false" ht="12.8" hidden="false" customHeight="false" outlineLevel="0" collapsed="false">
      <c r="A2545" s="8" t="str">
        <f aca="false">HYPERLINK("https://www.fabsurplus.com/sdi_catalog/salesItemDetails.do?id=99048")</f>
        <v>https://www.fabsurplus.com/sdi_catalog/salesItemDetails.do?id=99048</v>
      </c>
      <c r="B2545" s="8" t="s">
        <v>5758</v>
      </c>
      <c r="C2545" s="8" t="s">
        <v>5436</v>
      </c>
      <c r="D2545" s="8" t="s">
        <v>5759</v>
      </c>
      <c r="E2545" s="8" t="s">
        <v>1432</v>
      </c>
      <c r="F2545" s="8" t="s">
        <v>16</v>
      </c>
      <c r="G2545" s="8" t="s">
        <v>310</v>
      </c>
      <c r="H2545" s="8"/>
      <c r="I2545" s="9" t="n">
        <v>41699</v>
      </c>
      <c r="J2545" s="8" t="s">
        <v>19</v>
      </c>
      <c r="K2545" s="8"/>
    </row>
    <row r="2546" customFormat="false" ht="12.8" hidden="false" customHeight="false" outlineLevel="0" collapsed="false">
      <c r="A2546" s="6" t="str">
        <f aca="false">HYPERLINK("https://www.fabsurplus.com/sdi_catalog/salesItemDetails.do?id=98844")</f>
        <v>https://www.fabsurplus.com/sdi_catalog/salesItemDetails.do?id=98844</v>
      </c>
      <c r="B2546" s="6" t="s">
        <v>5760</v>
      </c>
      <c r="C2546" s="6" t="s">
        <v>5436</v>
      </c>
      <c r="D2546" s="6" t="s">
        <v>5759</v>
      </c>
      <c r="E2546" s="6" t="s">
        <v>1432</v>
      </c>
      <c r="F2546" s="6" t="s">
        <v>16</v>
      </c>
      <c r="G2546" s="6" t="s">
        <v>310</v>
      </c>
      <c r="H2546" s="6"/>
      <c r="I2546" s="7" t="n">
        <v>41730</v>
      </c>
      <c r="J2546" s="6" t="s">
        <v>19</v>
      </c>
      <c r="K2546" s="6"/>
    </row>
    <row r="2547" customFormat="false" ht="12.8" hidden="false" customHeight="false" outlineLevel="0" collapsed="false">
      <c r="A2547" s="8" t="str">
        <f aca="false">HYPERLINK("https://www.fabsurplus.com/sdi_catalog/salesItemDetails.do?id=100322")</f>
        <v>https://www.fabsurplus.com/sdi_catalog/salesItemDetails.do?id=100322</v>
      </c>
      <c r="B2547" s="8" t="s">
        <v>5761</v>
      </c>
      <c r="C2547" s="8" t="s">
        <v>5436</v>
      </c>
      <c r="D2547" s="8" t="s">
        <v>5762</v>
      </c>
      <c r="E2547" s="8" t="s">
        <v>5742</v>
      </c>
      <c r="F2547" s="8" t="s">
        <v>16</v>
      </c>
      <c r="G2547" s="8" t="s">
        <v>310</v>
      </c>
      <c r="H2547" s="8" t="s">
        <v>33</v>
      </c>
      <c r="I2547" s="9" t="n">
        <v>42887</v>
      </c>
      <c r="J2547" s="8" t="s">
        <v>19</v>
      </c>
      <c r="K2547" s="8" t="s">
        <v>20</v>
      </c>
    </row>
    <row r="2548" customFormat="false" ht="12.8" hidden="false" customHeight="false" outlineLevel="0" collapsed="false">
      <c r="A2548" s="8" t="str">
        <f aca="false">HYPERLINK("https://www.fabsurplus.com/sdi_catalog/salesItemDetails.do?id=100321")</f>
        <v>https://www.fabsurplus.com/sdi_catalog/salesItemDetails.do?id=100321</v>
      </c>
      <c r="B2548" s="8" t="s">
        <v>5763</v>
      </c>
      <c r="C2548" s="8" t="s">
        <v>5436</v>
      </c>
      <c r="D2548" s="8" t="s">
        <v>5762</v>
      </c>
      <c r="E2548" s="8" t="s">
        <v>5742</v>
      </c>
      <c r="F2548" s="8" t="s">
        <v>16</v>
      </c>
      <c r="G2548" s="8" t="s">
        <v>686</v>
      </c>
      <c r="H2548" s="8"/>
      <c r="I2548" s="9" t="n">
        <v>42156</v>
      </c>
      <c r="J2548" s="8" t="s">
        <v>19</v>
      </c>
      <c r="K2548" s="8"/>
    </row>
    <row r="2549" customFormat="false" ht="12.8" hidden="false" customHeight="false" outlineLevel="0" collapsed="false">
      <c r="A2549" s="6" t="str">
        <f aca="false">HYPERLINK("https://www.fabsurplus.com/sdi_catalog/salesItemDetails.do?id=100323")</f>
        <v>https://www.fabsurplus.com/sdi_catalog/salesItemDetails.do?id=100323</v>
      </c>
      <c r="B2549" s="6" t="s">
        <v>5764</v>
      </c>
      <c r="C2549" s="6" t="s">
        <v>5436</v>
      </c>
      <c r="D2549" s="6" t="s">
        <v>5765</v>
      </c>
      <c r="E2549" s="6" t="s">
        <v>5742</v>
      </c>
      <c r="F2549" s="6" t="s">
        <v>16</v>
      </c>
      <c r="G2549" s="6" t="s">
        <v>686</v>
      </c>
      <c r="H2549" s="6"/>
      <c r="I2549" s="7" t="n">
        <v>41671</v>
      </c>
      <c r="J2549" s="6" t="s">
        <v>19</v>
      </c>
      <c r="K2549" s="6"/>
    </row>
    <row r="2550" customFormat="false" ht="12.8" hidden="false" customHeight="false" outlineLevel="0" collapsed="false">
      <c r="A2550" s="8" t="str">
        <f aca="false">HYPERLINK("https://www.fabsurplus.com/sdi_catalog/salesItemDetails.do?id=100018")</f>
        <v>https://www.fabsurplus.com/sdi_catalog/salesItemDetails.do?id=100018</v>
      </c>
      <c r="B2550" s="8" t="s">
        <v>5766</v>
      </c>
      <c r="C2550" s="8" t="s">
        <v>5436</v>
      </c>
      <c r="D2550" s="8" t="s">
        <v>5767</v>
      </c>
      <c r="E2550" s="8" t="s">
        <v>1495</v>
      </c>
      <c r="F2550" s="8" t="s">
        <v>16</v>
      </c>
      <c r="G2550" s="8" t="s">
        <v>697</v>
      </c>
      <c r="H2550" s="8"/>
      <c r="I2550" s="9" t="n">
        <v>36312</v>
      </c>
      <c r="J2550" s="8" t="s">
        <v>19</v>
      </c>
      <c r="K2550" s="8"/>
    </row>
    <row r="2551" customFormat="false" ht="12.8" hidden="false" customHeight="false" outlineLevel="0" collapsed="false">
      <c r="A2551" s="8" t="str">
        <f aca="false">HYPERLINK("https://www.fabsurplus.com/sdi_catalog/salesItemDetails.do?id=100019")</f>
        <v>https://www.fabsurplus.com/sdi_catalog/salesItemDetails.do?id=100019</v>
      </c>
      <c r="B2551" s="8" t="s">
        <v>5768</v>
      </c>
      <c r="C2551" s="8" t="s">
        <v>5436</v>
      </c>
      <c r="D2551" s="8" t="s">
        <v>5769</v>
      </c>
      <c r="E2551" s="8" t="s">
        <v>1495</v>
      </c>
      <c r="F2551" s="8" t="s">
        <v>16</v>
      </c>
      <c r="G2551" s="8" t="s">
        <v>697</v>
      </c>
      <c r="H2551" s="8"/>
      <c r="I2551" s="9" t="n">
        <v>36312</v>
      </c>
      <c r="J2551" s="8" t="s">
        <v>19</v>
      </c>
      <c r="K2551" s="8"/>
    </row>
    <row r="2552" customFormat="false" ht="12.8" hidden="false" customHeight="false" outlineLevel="0" collapsed="false">
      <c r="A2552" s="6" t="str">
        <f aca="false">HYPERLINK("https://www.fabsurplus.com/sdi_catalog/salesItemDetails.do?id=98198")</f>
        <v>https://www.fabsurplus.com/sdi_catalog/salesItemDetails.do?id=98198</v>
      </c>
      <c r="B2552" s="6" t="s">
        <v>5770</v>
      </c>
      <c r="C2552" s="6" t="s">
        <v>5436</v>
      </c>
      <c r="D2552" s="6" t="s">
        <v>5771</v>
      </c>
      <c r="E2552" s="6" t="s">
        <v>5708</v>
      </c>
      <c r="F2552" s="6" t="s">
        <v>16</v>
      </c>
      <c r="G2552" s="6" t="s">
        <v>32</v>
      </c>
      <c r="H2552" s="6"/>
      <c r="I2552" s="7" t="n">
        <v>36678</v>
      </c>
      <c r="J2552" s="6" t="s">
        <v>19</v>
      </c>
      <c r="K2552" s="6"/>
    </row>
    <row r="2553" customFormat="false" ht="12.8" hidden="false" customHeight="false" outlineLevel="0" collapsed="false">
      <c r="A2553" s="8" t="str">
        <f aca="false">HYPERLINK("https://www.fabsurplus.com/sdi_catalog/salesItemDetails.do?id=98199")</f>
        <v>https://www.fabsurplus.com/sdi_catalog/salesItemDetails.do?id=98199</v>
      </c>
      <c r="B2553" s="8" t="s">
        <v>5772</v>
      </c>
      <c r="C2553" s="8" t="s">
        <v>5436</v>
      </c>
      <c r="D2553" s="8" t="s">
        <v>5773</v>
      </c>
      <c r="E2553" s="8" t="s">
        <v>5708</v>
      </c>
      <c r="F2553" s="8" t="s">
        <v>16</v>
      </c>
      <c r="G2553" s="8" t="s">
        <v>32</v>
      </c>
      <c r="H2553" s="8"/>
      <c r="I2553" s="9" t="n">
        <v>35947</v>
      </c>
      <c r="J2553" s="8" t="s">
        <v>19</v>
      </c>
      <c r="K2553" s="8"/>
    </row>
    <row r="2554" customFormat="false" ht="12.8" hidden="false" customHeight="false" outlineLevel="0" collapsed="false">
      <c r="A2554" s="6" t="str">
        <f aca="false">HYPERLINK("https://www.fabsurplus.com/sdi_catalog/salesItemDetails.do?id=98197")</f>
        <v>https://www.fabsurplus.com/sdi_catalog/salesItemDetails.do?id=98197</v>
      </c>
      <c r="B2554" s="6" t="s">
        <v>5774</v>
      </c>
      <c r="C2554" s="6" t="s">
        <v>5436</v>
      </c>
      <c r="D2554" s="6" t="s">
        <v>5775</v>
      </c>
      <c r="E2554" s="6" t="s">
        <v>5708</v>
      </c>
      <c r="F2554" s="6" t="s">
        <v>16</v>
      </c>
      <c r="G2554" s="6" t="s">
        <v>32</v>
      </c>
      <c r="H2554" s="6"/>
      <c r="I2554" s="6"/>
      <c r="J2554" s="6" t="s">
        <v>19</v>
      </c>
      <c r="K2554" s="6"/>
    </row>
    <row r="2555" customFormat="false" ht="12.8" hidden="false" customHeight="false" outlineLevel="0" collapsed="false">
      <c r="A2555" s="6" t="str">
        <f aca="false">HYPERLINK("https://www.fabsurplus.com/sdi_catalog/salesItemDetails.do?id=98196")</f>
        <v>https://www.fabsurplus.com/sdi_catalog/salesItemDetails.do?id=98196</v>
      </c>
      <c r="B2555" s="6" t="s">
        <v>5776</v>
      </c>
      <c r="C2555" s="6" t="s">
        <v>5436</v>
      </c>
      <c r="D2555" s="6" t="s">
        <v>5775</v>
      </c>
      <c r="E2555" s="6" t="s">
        <v>5708</v>
      </c>
      <c r="F2555" s="6" t="s">
        <v>16</v>
      </c>
      <c r="G2555" s="6" t="s">
        <v>32</v>
      </c>
      <c r="H2555" s="6"/>
      <c r="I2555" s="7" t="n">
        <v>36678</v>
      </c>
      <c r="J2555" s="6" t="s">
        <v>19</v>
      </c>
      <c r="K2555" s="6"/>
    </row>
    <row r="2556" customFormat="false" ht="12.8" hidden="false" customHeight="false" outlineLevel="0" collapsed="false">
      <c r="A2556" s="6" t="str">
        <f aca="false">HYPERLINK("https://www.fabsurplus.com/sdi_catalog/salesItemDetails.do?id=98195")</f>
        <v>https://www.fabsurplus.com/sdi_catalog/salesItemDetails.do?id=98195</v>
      </c>
      <c r="B2556" s="6" t="s">
        <v>5777</v>
      </c>
      <c r="C2556" s="6" t="s">
        <v>5436</v>
      </c>
      <c r="D2556" s="6" t="s">
        <v>5775</v>
      </c>
      <c r="E2556" s="6" t="s">
        <v>5708</v>
      </c>
      <c r="F2556" s="6" t="s">
        <v>16</v>
      </c>
      <c r="G2556" s="6" t="s">
        <v>32</v>
      </c>
      <c r="H2556" s="6"/>
      <c r="I2556" s="6"/>
      <c r="J2556" s="6" t="s">
        <v>19</v>
      </c>
      <c r="K2556" s="6"/>
    </row>
    <row r="2557" customFormat="false" ht="12.8" hidden="false" customHeight="false" outlineLevel="0" collapsed="false">
      <c r="A2557" s="8" t="str">
        <f aca="false">HYPERLINK("https://www.fabsurplus.com/sdi_catalog/salesItemDetails.do?id=99901")</f>
        <v>https://www.fabsurplus.com/sdi_catalog/salesItemDetails.do?id=99901</v>
      </c>
      <c r="B2557" s="8" t="s">
        <v>5778</v>
      </c>
      <c r="C2557" s="8" t="s">
        <v>5436</v>
      </c>
      <c r="D2557" s="8" t="s">
        <v>5779</v>
      </c>
      <c r="E2557" s="8" t="s">
        <v>5780</v>
      </c>
      <c r="F2557" s="8" t="s">
        <v>16</v>
      </c>
      <c r="G2557" s="8" t="s">
        <v>100</v>
      </c>
      <c r="H2557" s="8" t="s">
        <v>18</v>
      </c>
      <c r="I2557" s="9" t="n">
        <v>36739</v>
      </c>
      <c r="J2557" s="8" t="s">
        <v>19</v>
      </c>
      <c r="K2557" s="8" t="s">
        <v>20</v>
      </c>
    </row>
    <row r="2558" customFormat="false" ht="12.8" hidden="false" customHeight="false" outlineLevel="0" collapsed="false">
      <c r="A2558" s="8" t="str">
        <f aca="false">HYPERLINK("https://www.fabsurplus.com/sdi_catalog/salesItemDetails.do?id=98043")</f>
        <v>https://www.fabsurplus.com/sdi_catalog/salesItemDetails.do?id=98043</v>
      </c>
      <c r="B2558" s="8" t="s">
        <v>5781</v>
      </c>
      <c r="C2558" s="8" t="s">
        <v>5436</v>
      </c>
      <c r="D2558" s="8" t="s">
        <v>5782</v>
      </c>
      <c r="E2558" s="8" t="s">
        <v>5783</v>
      </c>
      <c r="F2558" s="8" t="s">
        <v>16</v>
      </c>
      <c r="G2558" s="8" t="s">
        <v>32</v>
      </c>
      <c r="H2558" s="8"/>
      <c r="I2558" s="9" t="n">
        <v>38139</v>
      </c>
      <c r="J2558" s="8" t="s">
        <v>19</v>
      </c>
      <c r="K2558" s="8"/>
    </row>
    <row r="2559" customFormat="false" ht="12.8" hidden="false" customHeight="false" outlineLevel="0" collapsed="false">
      <c r="A2559" s="8" t="str">
        <f aca="false">HYPERLINK("https://www.fabsurplus.com/sdi_catalog/salesItemDetails.do?id=98044")</f>
        <v>https://www.fabsurplus.com/sdi_catalog/salesItemDetails.do?id=98044</v>
      </c>
      <c r="B2559" s="8" t="s">
        <v>5784</v>
      </c>
      <c r="C2559" s="8" t="s">
        <v>5436</v>
      </c>
      <c r="D2559" s="8" t="s">
        <v>5785</v>
      </c>
      <c r="E2559" s="8" t="s">
        <v>5783</v>
      </c>
      <c r="F2559" s="8" t="s">
        <v>16</v>
      </c>
      <c r="G2559" s="8" t="s">
        <v>32</v>
      </c>
      <c r="H2559" s="8"/>
      <c r="I2559" s="9" t="n">
        <v>38504</v>
      </c>
      <c r="J2559" s="8" t="s">
        <v>19</v>
      </c>
      <c r="K2559" s="8"/>
    </row>
    <row r="2560" customFormat="false" ht="12.8" hidden="false" customHeight="false" outlineLevel="0" collapsed="false">
      <c r="A2560" s="6" t="str">
        <f aca="false">HYPERLINK("https://www.fabsurplus.com/sdi_catalog/salesItemDetails.do?id=100324")</f>
        <v>https://www.fabsurplus.com/sdi_catalog/salesItemDetails.do?id=100324</v>
      </c>
      <c r="B2560" s="6" t="s">
        <v>5786</v>
      </c>
      <c r="C2560" s="6" t="s">
        <v>5436</v>
      </c>
      <c r="D2560" s="6" t="s">
        <v>5787</v>
      </c>
      <c r="E2560" s="6" t="s">
        <v>2520</v>
      </c>
      <c r="F2560" s="6" t="s">
        <v>16</v>
      </c>
      <c r="G2560" s="6" t="s">
        <v>697</v>
      </c>
      <c r="H2560" s="6"/>
      <c r="I2560" s="6"/>
      <c r="J2560" s="6" t="s">
        <v>19</v>
      </c>
      <c r="K2560" s="6"/>
    </row>
    <row r="2561" customFormat="false" ht="12.8" hidden="false" customHeight="false" outlineLevel="0" collapsed="false">
      <c r="A2561" s="6" t="str">
        <f aca="false">HYPERLINK("https://www.fabsurplus.com/sdi_catalog/salesItemDetails.do?id=96968")</f>
        <v>https://www.fabsurplus.com/sdi_catalog/salesItemDetails.do?id=96968</v>
      </c>
      <c r="B2561" s="6" t="s">
        <v>5788</v>
      </c>
      <c r="C2561" s="6" t="s">
        <v>5436</v>
      </c>
      <c r="D2561" s="6" t="s">
        <v>5787</v>
      </c>
      <c r="E2561" s="6" t="s">
        <v>5789</v>
      </c>
      <c r="F2561" s="6" t="s">
        <v>16</v>
      </c>
      <c r="G2561" s="6" t="s">
        <v>32</v>
      </c>
      <c r="H2561" s="6" t="s">
        <v>18</v>
      </c>
      <c r="I2561" s="6"/>
      <c r="J2561" s="6" t="s">
        <v>19</v>
      </c>
      <c r="K2561" s="6" t="s">
        <v>20</v>
      </c>
    </row>
    <row r="2562" customFormat="false" ht="12.8" hidden="false" customHeight="false" outlineLevel="0" collapsed="false">
      <c r="A2562" s="8" t="str">
        <f aca="false">HYPERLINK("https://www.fabsurplus.com/sdi_catalog/salesItemDetails.do?id=96963")</f>
        <v>https://www.fabsurplus.com/sdi_catalog/salesItemDetails.do?id=96963</v>
      </c>
      <c r="B2562" s="8" t="s">
        <v>5790</v>
      </c>
      <c r="C2562" s="8" t="s">
        <v>5436</v>
      </c>
      <c r="D2562" s="8" t="s">
        <v>5791</v>
      </c>
      <c r="E2562" s="8" t="s">
        <v>2520</v>
      </c>
      <c r="F2562" s="8" t="s">
        <v>16</v>
      </c>
      <c r="G2562" s="8" t="s">
        <v>310</v>
      </c>
      <c r="H2562" s="8"/>
      <c r="I2562" s="8"/>
      <c r="J2562" s="8" t="s">
        <v>19</v>
      </c>
      <c r="K2562" s="8"/>
    </row>
    <row r="2563" customFormat="false" ht="12.8" hidden="false" customHeight="false" outlineLevel="0" collapsed="false">
      <c r="A2563" s="6" t="str">
        <f aca="false">HYPERLINK("https://www.fabsurplus.com/sdi_catalog/salesItemDetails.do?id=98608")</f>
        <v>https://www.fabsurplus.com/sdi_catalog/salesItemDetails.do?id=98608</v>
      </c>
      <c r="B2563" s="6" t="s">
        <v>5792</v>
      </c>
      <c r="C2563" s="6" t="s">
        <v>5436</v>
      </c>
      <c r="D2563" s="6" t="s">
        <v>5791</v>
      </c>
      <c r="E2563" s="6" t="s">
        <v>5793</v>
      </c>
      <c r="F2563" s="6" t="s">
        <v>16</v>
      </c>
      <c r="G2563" s="6" t="s">
        <v>310</v>
      </c>
      <c r="H2563" s="6"/>
      <c r="I2563" s="6"/>
      <c r="J2563" s="6" t="s">
        <v>19</v>
      </c>
      <c r="K2563" s="6"/>
    </row>
    <row r="2564" customFormat="false" ht="12.8" hidden="false" customHeight="false" outlineLevel="0" collapsed="false">
      <c r="A2564" s="6" t="str">
        <f aca="false">HYPERLINK("https://www.fabsurplus.com/sdi_catalog/salesItemDetails.do?id=98014")</f>
        <v>https://www.fabsurplus.com/sdi_catalog/salesItemDetails.do?id=98014</v>
      </c>
      <c r="B2564" s="6" t="s">
        <v>5794</v>
      </c>
      <c r="C2564" s="6" t="s">
        <v>5436</v>
      </c>
      <c r="D2564" s="6" t="s">
        <v>5791</v>
      </c>
      <c r="E2564" s="6" t="s">
        <v>2515</v>
      </c>
      <c r="F2564" s="6" t="s">
        <v>16</v>
      </c>
      <c r="G2564" s="6" t="s">
        <v>310</v>
      </c>
      <c r="H2564" s="6"/>
      <c r="I2564" s="7" t="n">
        <v>40695</v>
      </c>
      <c r="J2564" s="6" t="s">
        <v>19</v>
      </c>
      <c r="K2564" s="6"/>
    </row>
    <row r="2565" customFormat="false" ht="12.8" hidden="false" customHeight="false" outlineLevel="0" collapsed="false">
      <c r="A2565" s="6" t="str">
        <f aca="false">HYPERLINK("https://www.fabsurplus.com/sdi_catalog/salesItemDetails.do?id=98845")</f>
        <v>https://www.fabsurplus.com/sdi_catalog/salesItemDetails.do?id=98845</v>
      </c>
      <c r="B2565" s="6" t="s">
        <v>5795</v>
      </c>
      <c r="C2565" s="6" t="s">
        <v>5436</v>
      </c>
      <c r="D2565" s="6" t="s">
        <v>5796</v>
      </c>
      <c r="E2565" s="6" t="s">
        <v>1495</v>
      </c>
      <c r="F2565" s="6" t="s">
        <v>16</v>
      </c>
      <c r="G2565" s="6" t="s">
        <v>310</v>
      </c>
      <c r="H2565" s="6"/>
      <c r="I2565" s="7" t="n">
        <v>40391</v>
      </c>
      <c r="J2565" s="6" t="s">
        <v>19</v>
      </c>
      <c r="K2565" s="6"/>
    </row>
    <row r="2566" customFormat="false" ht="12.8" hidden="false" customHeight="false" outlineLevel="0" collapsed="false">
      <c r="A2566" s="6" t="str">
        <f aca="false">HYPERLINK("https://www.fabsurplus.com/sdi_catalog/salesItemDetails.do?id=98846")</f>
        <v>https://www.fabsurplus.com/sdi_catalog/salesItemDetails.do?id=98846</v>
      </c>
      <c r="B2566" s="6" t="s">
        <v>5797</v>
      </c>
      <c r="C2566" s="6" t="s">
        <v>5436</v>
      </c>
      <c r="D2566" s="6" t="s">
        <v>5798</v>
      </c>
      <c r="E2566" s="6" t="s">
        <v>874</v>
      </c>
      <c r="F2566" s="6" t="s">
        <v>16</v>
      </c>
      <c r="G2566" s="6" t="s">
        <v>310</v>
      </c>
      <c r="H2566" s="6" t="s">
        <v>18</v>
      </c>
      <c r="I2566" s="7" t="n">
        <v>39934</v>
      </c>
      <c r="J2566" s="6" t="s">
        <v>19</v>
      </c>
      <c r="K2566" s="6" t="s">
        <v>20</v>
      </c>
    </row>
    <row r="2567" customFormat="false" ht="12.8" hidden="false" customHeight="false" outlineLevel="0" collapsed="false">
      <c r="A2567" s="6" t="str">
        <f aca="false">HYPERLINK("https://www.fabsurplus.com/sdi_catalog/salesItemDetails.do?id=98847")</f>
        <v>https://www.fabsurplus.com/sdi_catalog/salesItemDetails.do?id=98847</v>
      </c>
      <c r="B2567" s="6" t="s">
        <v>5799</v>
      </c>
      <c r="C2567" s="6" t="s">
        <v>5436</v>
      </c>
      <c r="D2567" s="6" t="s">
        <v>5800</v>
      </c>
      <c r="E2567" s="6" t="s">
        <v>874</v>
      </c>
      <c r="F2567" s="6" t="s">
        <v>16</v>
      </c>
      <c r="G2567" s="6" t="s">
        <v>310</v>
      </c>
      <c r="H2567" s="6" t="s">
        <v>18</v>
      </c>
      <c r="I2567" s="7" t="n">
        <v>41487</v>
      </c>
      <c r="J2567" s="6" t="s">
        <v>19</v>
      </c>
      <c r="K2567" s="6" t="s">
        <v>20</v>
      </c>
    </row>
    <row r="2568" customFormat="false" ht="12.8" hidden="false" customHeight="false" outlineLevel="0" collapsed="false">
      <c r="A2568" s="6" t="str">
        <f aca="false">HYPERLINK("https://www.fabsurplus.com/sdi_catalog/salesItemDetails.do?id=99049")</f>
        <v>https://www.fabsurplus.com/sdi_catalog/salesItemDetails.do?id=99049</v>
      </c>
      <c r="B2568" s="6" t="s">
        <v>5801</v>
      </c>
      <c r="C2568" s="6" t="s">
        <v>5436</v>
      </c>
      <c r="D2568" s="6" t="s">
        <v>5802</v>
      </c>
      <c r="E2568" s="6" t="s">
        <v>874</v>
      </c>
      <c r="F2568" s="6" t="s">
        <v>16</v>
      </c>
      <c r="G2568" s="6" t="s">
        <v>310</v>
      </c>
      <c r="H2568" s="6"/>
      <c r="I2568" s="7" t="n">
        <v>39692</v>
      </c>
      <c r="J2568" s="6" t="s">
        <v>19</v>
      </c>
      <c r="K2568" s="6"/>
    </row>
    <row r="2569" customFormat="false" ht="12.8" hidden="false" customHeight="false" outlineLevel="0" collapsed="false">
      <c r="A2569" s="8" t="str">
        <f aca="false">HYPERLINK("https://www.fabsurplus.com/sdi_catalog/salesItemDetails.do?id=98257")</f>
        <v>https://www.fabsurplus.com/sdi_catalog/salesItemDetails.do?id=98257</v>
      </c>
      <c r="B2569" s="8" t="s">
        <v>5803</v>
      </c>
      <c r="C2569" s="8" t="s">
        <v>5436</v>
      </c>
      <c r="D2569" s="8" t="s">
        <v>5804</v>
      </c>
      <c r="E2569" s="8" t="s">
        <v>5805</v>
      </c>
      <c r="F2569" s="8" t="s">
        <v>611</v>
      </c>
      <c r="G2569" s="8" t="s">
        <v>5806</v>
      </c>
      <c r="H2569" s="8" t="s">
        <v>18</v>
      </c>
      <c r="I2569" s="8"/>
      <c r="J2569" s="8" t="s">
        <v>81</v>
      </c>
      <c r="K2569" s="8" t="s">
        <v>20</v>
      </c>
    </row>
    <row r="2570" customFormat="false" ht="12.8" hidden="false" customHeight="false" outlineLevel="0" collapsed="false">
      <c r="A2570" s="6" t="str">
        <f aca="false">HYPERLINK("https://www.fabsurplus.com/sdi_catalog/salesItemDetails.do?id=99432")</f>
        <v>https://www.fabsurplus.com/sdi_catalog/salesItemDetails.do?id=99432</v>
      </c>
      <c r="B2570" s="6" t="s">
        <v>5807</v>
      </c>
      <c r="C2570" s="6" t="s">
        <v>5808</v>
      </c>
      <c r="D2570" s="6" t="s">
        <v>5809</v>
      </c>
      <c r="E2570" s="6" t="s">
        <v>5810</v>
      </c>
      <c r="F2570" s="6" t="s">
        <v>5811</v>
      </c>
      <c r="G2570" s="6" t="s">
        <v>47</v>
      </c>
      <c r="H2570" s="6"/>
      <c r="I2570" s="6"/>
      <c r="J2570" s="6" t="s">
        <v>19</v>
      </c>
      <c r="K2570" s="6"/>
    </row>
    <row r="2571" customFormat="false" ht="12.8" hidden="false" customHeight="false" outlineLevel="0" collapsed="false">
      <c r="A2571" s="8" t="str">
        <f aca="false">HYPERLINK("https://www.fabsurplus.com/sdi_catalog/salesItemDetails.do?id=100325")</f>
        <v>https://www.fabsurplus.com/sdi_catalog/salesItemDetails.do?id=100325</v>
      </c>
      <c r="B2571" s="8" t="s">
        <v>5812</v>
      </c>
      <c r="C2571" s="8" t="s">
        <v>5813</v>
      </c>
      <c r="D2571" s="8" t="s">
        <v>5814</v>
      </c>
      <c r="E2571" s="8" t="s">
        <v>5815</v>
      </c>
      <c r="F2571" s="8" t="s">
        <v>16</v>
      </c>
      <c r="G2571" s="8"/>
      <c r="H2571" s="8"/>
      <c r="I2571" s="8"/>
      <c r="J2571" s="8" t="s">
        <v>19</v>
      </c>
      <c r="K2571" s="8"/>
    </row>
    <row r="2572" customFormat="false" ht="12.8" hidden="false" customHeight="false" outlineLevel="0" collapsed="false">
      <c r="A2572" s="6" t="str">
        <f aca="false">HYPERLINK("https://www.fabsurplus.com/sdi_catalog/salesItemDetails.do?id=98234")</f>
        <v>https://www.fabsurplus.com/sdi_catalog/salesItemDetails.do?id=98234</v>
      </c>
      <c r="B2572" s="6" t="s">
        <v>5816</v>
      </c>
      <c r="C2572" s="6" t="s">
        <v>5813</v>
      </c>
      <c r="D2572" s="6" t="s">
        <v>5817</v>
      </c>
      <c r="E2572" s="6" t="s">
        <v>429</v>
      </c>
      <c r="F2572" s="6" t="s">
        <v>16</v>
      </c>
      <c r="G2572" s="6"/>
      <c r="H2572" s="6" t="s">
        <v>18</v>
      </c>
      <c r="I2572" s="6"/>
      <c r="J2572" s="6" t="s">
        <v>81</v>
      </c>
      <c r="K2572" s="6" t="s">
        <v>20</v>
      </c>
    </row>
    <row r="2573" customFormat="false" ht="12.8" hidden="false" customHeight="false" outlineLevel="0" collapsed="false">
      <c r="A2573" s="8" t="str">
        <f aca="false">HYPERLINK("https://www.fabsurplus.com/sdi_catalog/salesItemDetails.do?id=98233")</f>
        <v>https://www.fabsurplus.com/sdi_catalog/salesItemDetails.do?id=98233</v>
      </c>
      <c r="B2573" s="8" t="s">
        <v>5818</v>
      </c>
      <c r="C2573" s="8" t="s">
        <v>5813</v>
      </c>
      <c r="D2573" s="8" t="s">
        <v>5817</v>
      </c>
      <c r="E2573" s="8" t="s">
        <v>429</v>
      </c>
      <c r="F2573" s="8" t="s">
        <v>16</v>
      </c>
      <c r="G2573" s="8"/>
      <c r="H2573" s="8" t="s">
        <v>18</v>
      </c>
      <c r="I2573" s="8"/>
      <c r="J2573" s="8" t="s">
        <v>81</v>
      </c>
      <c r="K2573" s="8" t="s">
        <v>20</v>
      </c>
    </row>
    <row r="2574" customFormat="false" ht="12.8" hidden="false" customHeight="false" outlineLevel="0" collapsed="false">
      <c r="A2574" s="8" t="str">
        <f aca="false">HYPERLINK("https://www.fabsurplus.com/sdi_catalog/salesItemDetails.do?id=98527")</f>
        <v>https://www.fabsurplus.com/sdi_catalog/salesItemDetails.do?id=98527</v>
      </c>
      <c r="B2574" s="8" t="s">
        <v>5819</v>
      </c>
      <c r="C2574" s="8" t="s">
        <v>584</v>
      </c>
      <c r="D2574" s="8" t="s">
        <v>5820</v>
      </c>
      <c r="E2574" s="8" t="s">
        <v>5821</v>
      </c>
      <c r="F2574" s="8" t="s">
        <v>16</v>
      </c>
      <c r="G2574" s="8" t="s">
        <v>32</v>
      </c>
      <c r="H2574" s="8"/>
      <c r="I2574" s="8"/>
      <c r="J2574" s="8" t="s">
        <v>19</v>
      </c>
      <c r="K2574" s="8"/>
    </row>
    <row r="2575" customFormat="false" ht="12.8" hidden="false" customHeight="false" outlineLevel="0" collapsed="false">
      <c r="A2575" s="8" t="str">
        <f aca="false">HYPERLINK("https://www.fabsurplus.com/sdi_catalog/salesItemDetails.do?id=98509")</f>
        <v>https://www.fabsurplus.com/sdi_catalog/salesItemDetails.do?id=98509</v>
      </c>
      <c r="B2575" s="8" t="s">
        <v>5822</v>
      </c>
      <c r="C2575" s="8" t="s">
        <v>584</v>
      </c>
      <c r="D2575" s="8" t="s">
        <v>5820</v>
      </c>
      <c r="E2575" s="8" t="s">
        <v>5821</v>
      </c>
      <c r="F2575" s="8" t="s">
        <v>16</v>
      </c>
      <c r="G2575" s="8" t="s">
        <v>32</v>
      </c>
      <c r="H2575" s="8"/>
      <c r="I2575" s="8"/>
      <c r="J2575" s="8" t="s">
        <v>19</v>
      </c>
      <c r="K2575" s="8"/>
    </row>
    <row r="2576" customFormat="false" ht="12.8" hidden="false" customHeight="false" outlineLevel="0" collapsed="false">
      <c r="A2576" s="8" t="str">
        <f aca="false">HYPERLINK("https://www.fabsurplus.com/sdi_catalog/salesItemDetails.do?id=99364")</f>
        <v>https://www.fabsurplus.com/sdi_catalog/salesItemDetails.do?id=99364</v>
      </c>
      <c r="B2576" s="8" t="s">
        <v>5823</v>
      </c>
      <c r="C2576" s="8" t="s">
        <v>584</v>
      </c>
      <c r="D2576" s="8" t="s">
        <v>5824</v>
      </c>
      <c r="E2576" s="8" t="s">
        <v>5825</v>
      </c>
      <c r="F2576" s="8" t="s">
        <v>16</v>
      </c>
      <c r="G2576" s="8" t="s">
        <v>38</v>
      </c>
      <c r="H2576" s="8" t="s">
        <v>33</v>
      </c>
      <c r="I2576" s="9" t="n">
        <v>36678</v>
      </c>
      <c r="J2576" s="8" t="s">
        <v>19</v>
      </c>
      <c r="K2576" s="8" t="s">
        <v>20</v>
      </c>
    </row>
    <row r="2577" customFormat="false" ht="12.8" hidden="false" customHeight="false" outlineLevel="0" collapsed="false">
      <c r="A2577" s="8" t="str">
        <f aca="false">HYPERLINK("https://www.fabsurplus.com/sdi_catalog/salesItemDetails.do?id=100685")</f>
        <v>https://www.fabsurplus.com/sdi_catalog/salesItemDetails.do?id=100685</v>
      </c>
      <c r="B2577" s="8" t="s">
        <v>5826</v>
      </c>
      <c r="C2577" s="8" t="s">
        <v>584</v>
      </c>
      <c r="D2577" s="8" t="s">
        <v>5824</v>
      </c>
      <c r="E2577" s="8" t="s">
        <v>731</v>
      </c>
      <c r="F2577" s="8" t="s">
        <v>611</v>
      </c>
      <c r="G2577" s="8" t="s">
        <v>38</v>
      </c>
      <c r="H2577" s="8"/>
      <c r="I2577" s="8"/>
      <c r="J2577" s="8" t="s">
        <v>19</v>
      </c>
      <c r="K2577" s="8"/>
    </row>
    <row r="2578" customFormat="false" ht="12.8" hidden="false" customHeight="false" outlineLevel="0" collapsed="false">
      <c r="A2578" s="8" t="str">
        <f aca="false">HYPERLINK("https://www.fabsurplus.com/sdi_catalog/salesItemDetails.do?id=100721")</f>
        <v>https://www.fabsurplus.com/sdi_catalog/salesItemDetails.do?id=100721</v>
      </c>
      <c r="B2578" s="8" t="s">
        <v>5827</v>
      </c>
      <c r="C2578" s="8" t="s">
        <v>584</v>
      </c>
      <c r="D2578" s="8" t="s">
        <v>5824</v>
      </c>
      <c r="E2578" s="8" t="s">
        <v>5828</v>
      </c>
      <c r="F2578" s="8" t="s">
        <v>16</v>
      </c>
      <c r="G2578" s="8" t="s">
        <v>43</v>
      </c>
      <c r="H2578" s="8" t="s">
        <v>18</v>
      </c>
      <c r="I2578" s="9" t="n">
        <v>38139</v>
      </c>
      <c r="J2578" s="8" t="s">
        <v>19</v>
      </c>
      <c r="K2578" s="8" t="s">
        <v>20</v>
      </c>
    </row>
    <row r="2579" customFormat="false" ht="12.8" hidden="false" customHeight="false" outlineLevel="0" collapsed="false">
      <c r="A2579" s="6" t="str">
        <f aca="false">HYPERLINK("https://www.fabsurplus.com/sdi_catalog/salesItemDetails.do?id=100863")</f>
        <v>https://www.fabsurplus.com/sdi_catalog/salesItemDetails.do?id=100863</v>
      </c>
      <c r="B2579" s="6" t="s">
        <v>5829</v>
      </c>
      <c r="C2579" s="6" t="s">
        <v>584</v>
      </c>
      <c r="D2579" s="6" t="s">
        <v>5830</v>
      </c>
      <c r="E2579" s="6" t="s">
        <v>752</v>
      </c>
      <c r="F2579" s="6" t="s">
        <v>16</v>
      </c>
      <c r="G2579" s="6" t="s">
        <v>43</v>
      </c>
      <c r="H2579" s="6"/>
      <c r="I2579" s="7" t="n">
        <v>42156</v>
      </c>
      <c r="J2579" s="6" t="s">
        <v>19</v>
      </c>
      <c r="K2579" s="6"/>
    </row>
    <row r="2580" customFormat="false" ht="12.8" hidden="false" customHeight="false" outlineLevel="0" collapsed="false">
      <c r="A2580" s="8" t="str">
        <f aca="false">HYPERLINK("https://www.fabsurplus.com/sdi_catalog/salesItemDetails.do?id=98046")</f>
        <v>https://www.fabsurplus.com/sdi_catalog/salesItemDetails.do?id=98046</v>
      </c>
      <c r="B2580" s="8" t="s">
        <v>5831</v>
      </c>
      <c r="C2580" s="8" t="s">
        <v>5832</v>
      </c>
      <c r="D2580" s="8" t="s">
        <v>5833</v>
      </c>
      <c r="E2580" s="8" t="s">
        <v>5834</v>
      </c>
      <c r="F2580" s="8" t="s">
        <v>16</v>
      </c>
      <c r="G2580" s="8" t="s">
        <v>310</v>
      </c>
      <c r="H2580" s="8"/>
      <c r="I2580" s="9" t="n">
        <v>41061</v>
      </c>
      <c r="J2580" s="8" t="s">
        <v>19</v>
      </c>
      <c r="K2580" s="8"/>
    </row>
    <row r="2581" customFormat="false" ht="12.8" hidden="false" customHeight="false" outlineLevel="0" collapsed="false">
      <c r="A2581" s="6" t="str">
        <f aca="false">HYPERLINK("https://www.fabsurplus.com/sdi_catalog/salesItemDetails.do?id=98223")</f>
        <v>https://www.fabsurplus.com/sdi_catalog/salesItemDetails.do?id=98223</v>
      </c>
      <c r="B2581" s="6" t="s">
        <v>5835</v>
      </c>
      <c r="C2581" s="6" t="s">
        <v>5836</v>
      </c>
      <c r="D2581" s="6" t="s">
        <v>5837</v>
      </c>
      <c r="E2581" s="6" t="s">
        <v>765</v>
      </c>
      <c r="F2581" s="6" t="s">
        <v>16</v>
      </c>
      <c r="G2581" s="6" t="s">
        <v>38</v>
      </c>
      <c r="H2581" s="6" t="s">
        <v>18</v>
      </c>
      <c r="I2581" s="6"/>
      <c r="J2581" s="6" t="s">
        <v>19</v>
      </c>
      <c r="K2581" s="6" t="s">
        <v>20</v>
      </c>
    </row>
    <row r="2582" customFormat="false" ht="12.8" hidden="false" customHeight="false" outlineLevel="0" collapsed="false">
      <c r="A2582" s="8" t="str">
        <f aca="false">HYPERLINK("https://www.fabsurplus.com/sdi_catalog/salesItemDetails.do?id=98222")</f>
        <v>https://www.fabsurplus.com/sdi_catalog/salesItemDetails.do?id=98222</v>
      </c>
      <c r="B2582" s="8" t="s">
        <v>5838</v>
      </c>
      <c r="C2582" s="8" t="s">
        <v>5836</v>
      </c>
      <c r="D2582" s="8" t="s">
        <v>5839</v>
      </c>
      <c r="E2582" s="8" t="s">
        <v>5840</v>
      </c>
      <c r="F2582" s="8" t="s">
        <v>781</v>
      </c>
      <c r="G2582" s="8" t="s">
        <v>38</v>
      </c>
      <c r="H2582" s="8" t="s">
        <v>167</v>
      </c>
      <c r="I2582" s="8"/>
      <c r="J2582" s="8" t="s">
        <v>81</v>
      </c>
      <c r="K2582" s="8" t="s">
        <v>20</v>
      </c>
    </row>
    <row r="2583" customFormat="false" ht="12.8" hidden="false" customHeight="false" outlineLevel="0" collapsed="false">
      <c r="A2583" s="8" t="str">
        <f aca="false">HYPERLINK("https://www.fabsurplus.com/sdi_catalog/salesItemDetails.do?id=98848")</f>
        <v>https://www.fabsurplus.com/sdi_catalog/salesItemDetails.do?id=98848</v>
      </c>
      <c r="B2583" s="8" t="s">
        <v>5841</v>
      </c>
      <c r="C2583" s="8" t="s">
        <v>5842</v>
      </c>
      <c r="D2583" s="8" t="s">
        <v>5843</v>
      </c>
      <c r="E2583" s="8" t="s">
        <v>1681</v>
      </c>
      <c r="F2583" s="8" t="s">
        <v>16</v>
      </c>
      <c r="G2583" s="8" t="s">
        <v>310</v>
      </c>
      <c r="H2583" s="8"/>
      <c r="I2583" s="9" t="n">
        <v>41609</v>
      </c>
      <c r="J2583" s="8" t="s">
        <v>19</v>
      </c>
      <c r="K2583" s="8"/>
    </row>
    <row r="2584" customFormat="false" ht="12.8" hidden="false" customHeight="false" outlineLevel="0" collapsed="false">
      <c r="A2584" s="8" t="str">
        <f aca="false">HYPERLINK("https://www.fabsurplus.com/sdi_catalog/salesItemDetails.do?id=99874")</f>
        <v>https://www.fabsurplus.com/sdi_catalog/salesItemDetails.do?id=99874</v>
      </c>
      <c r="B2584" s="8" t="s">
        <v>5844</v>
      </c>
      <c r="C2584" s="8" t="s">
        <v>5845</v>
      </c>
      <c r="D2584" s="8" t="s">
        <v>3590</v>
      </c>
      <c r="E2584" s="8" t="s">
        <v>5846</v>
      </c>
      <c r="F2584" s="8" t="s">
        <v>16</v>
      </c>
      <c r="G2584" s="8" t="s">
        <v>372</v>
      </c>
      <c r="H2584" s="8"/>
      <c r="I2584" s="9" t="n">
        <v>34820</v>
      </c>
      <c r="J2584" s="8" t="s">
        <v>81</v>
      </c>
      <c r="K2584" s="8"/>
    </row>
    <row r="2585" customFormat="false" ht="12.8" hidden="false" customHeight="false" outlineLevel="0" collapsed="false">
      <c r="A2585" s="8" t="str">
        <f aca="false">HYPERLINK("https://www.fabsurplus.com/sdi_catalog/salesItemDetails.do?id=98437")</f>
        <v>https://www.fabsurplus.com/sdi_catalog/salesItemDetails.do?id=98437</v>
      </c>
      <c r="B2585" s="8" t="s">
        <v>5847</v>
      </c>
      <c r="C2585" s="8" t="s">
        <v>5845</v>
      </c>
      <c r="D2585" s="8" t="s">
        <v>5848</v>
      </c>
      <c r="E2585" s="8" t="s">
        <v>3468</v>
      </c>
      <c r="F2585" s="8" t="s">
        <v>611</v>
      </c>
      <c r="G2585" s="8" t="s">
        <v>2208</v>
      </c>
      <c r="H2585" s="8"/>
      <c r="I2585" s="8"/>
      <c r="J2585" s="8" t="s">
        <v>19</v>
      </c>
      <c r="K2585" s="8"/>
    </row>
    <row r="2586" customFormat="false" ht="12.8" hidden="false" customHeight="false" outlineLevel="0" collapsed="false">
      <c r="A2586" s="6" t="str">
        <f aca="false">HYPERLINK("https://www.fabsurplus.com/sdi_catalog/salesItemDetails.do?id=98438")</f>
        <v>https://www.fabsurplus.com/sdi_catalog/salesItemDetails.do?id=98438</v>
      </c>
      <c r="B2586" s="6" t="s">
        <v>5849</v>
      </c>
      <c r="C2586" s="6" t="s">
        <v>5845</v>
      </c>
      <c r="D2586" s="6" t="s">
        <v>5850</v>
      </c>
      <c r="E2586" s="6" t="s">
        <v>3468</v>
      </c>
      <c r="F2586" s="6" t="s">
        <v>16</v>
      </c>
      <c r="G2586" s="6" t="s">
        <v>5851</v>
      </c>
      <c r="H2586" s="6"/>
      <c r="I2586" s="6"/>
      <c r="J2586" s="6" t="s">
        <v>19</v>
      </c>
      <c r="K2586" s="6"/>
    </row>
    <row r="2587" customFormat="false" ht="12.8" hidden="false" customHeight="false" outlineLevel="0" collapsed="false">
      <c r="A2587" s="8" t="str">
        <f aca="false">HYPERLINK("https://www.fabsurplus.com/sdi_catalog/salesItemDetails.do?id=98439")</f>
        <v>https://www.fabsurplus.com/sdi_catalog/salesItemDetails.do?id=98439</v>
      </c>
      <c r="B2587" s="8" t="s">
        <v>5852</v>
      </c>
      <c r="C2587" s="8" t="s">
        <v>5845</v>
      </c>
      <c r="D2587" s="8" t="s">
        <v>5853</v>
      </c>
      <c r="E2587" s="8" t="s">
        <v>3468</v>
      </c>
      <c r="F2587" s="8" t="s">
        <v>16</v>
      </c>
      <c r="G2587" s="8" t="s">
        <v>5851</v>
      </c>
      <c r="H2587" s="8"/>
      <c r="I2587" s="8"/>
      <c r="J2587" s="8" t="s">
        <v>19</v>
      </c>
      <c r="K2587" s="8"/>
    </row>
    <row r="2588" customFormat="false" ht="12.8" hidden="false" customHeight="false" outlineLevel="0" collapsed="false">
      <c r="A2588" s="6" t="str">
        <f aca="false">HYPERLINK("https://www.fabsurplus.com/sdi_catalog/salesItemDetails.do?id=98935")</f>
        <v>https://www.fabsurplus.com/sdi_catalog/salesItemDetails.do?id=98935</v>
      </c>
      <c r="B2588" s="6" t="s">
        <v>5854</v>
      </c>
      <c r="C2588" s="6" t="s">
        <v>5845</v>
      </c>
      <c r="D2588" s="6" t="s">
        <v>5853</v>
      </c>
      <c r="E2588" s="6" t="s">
        <v>5855</v>
      </c>
      <c r="F2588" s="6" t="s">
        <v>16</v>
      </c>
      <c r="G2588" s="6"/>
      <c r="H2588" s="6"/>
      <c r="I2588" s="6"/>
      <c r="J2588" s="6" t="s">
        <v>19</v>
      </c>
      <c r="K2588" s="6"/>
    </row>
    <row r="2589" customFormat="false" ht="12.8" hidden="false" customHeight="false" outlineLevel="0" collapsed="false">
      <c r="A2589" s="6" t="str">
        <f aca="false">HYPERLINK("https://www.fabsurplus.com/sdi_catalog/salesItemDetails.do?id=99813")</f>
        <v>https://www.fabsurplus.com/sdi_catalog/salesItemDetails.do?id=99813</v>
      </c>
      <c r="B2589" s="6" t="s">
        <v>5856</v>
      </c>
      <c r="C2589" s="6" t="s">
        <v>5857</v>
      </c>
      <c r="D2589" s="6" t="s">
        <v>5858</v>
      </c>
      <c r="E2589" s="6" t="s">
        <v>5859</v>
      </c>
      <c r="F2589" s="6" t="s">
        <v>16</v>
      </c>
      <c r="G2589" s="6" t="s">
        <v>5860</v>
      </c>
      <c r="H2589" s="6" t="s">
        <v>311</v>
      </c>
      <c r="I2589" s="6"/>
      <c r="J2589" s="6" t="s">
        <v>81</v>
      </c>
      <c r="K2589" s="6" t="s">
        <v>20</v>
      </c>
    </row>
    <row r="2590" customFormat="false" ht="12.8" hidden="false" customHeight="false" outlineLevel="0" collapsed="false">
      <c r="A2590" s="8" t="str">
        <f aca="false">HYPERLINK("https://www.fabsurplus.com/sdi_catalog/salesItemDetails.do?id=98905")</f>
        <v>https://www.fabsurplus.com/sdi_catalog/salesItemDetails.do?id=98905</v>
      </c>
      <c r="B2590" s="8" t="s">
        <v>5861</v>
      </c>
      <c r="C2590" s="8" t="s">
        <v>5862</v>
      </c>
      <c r="D2590" s="8" t="s">
        <v>5863</v>
      </c>
      <c r="E2590" s="8" t="s">
        <v>5864</v>
      </c>
      <c r="F2590" s="8" t="s">
        <v>16</v>
      </c>
      <c r="G2590" s="8" t="s">
        <v>310</v>
      </c>
      <c r="H2590" s="8"/>
      <c r="I2590" s="9" t="n">
        <v>38504</v>
      </c>
      <c r="J2590" s="8" t="s">
        <v>19</v>
      </c>
      <c r="K2590" s="8"/>
    </row>
    <row r="2591" customFormat="false" ht="12.8" hidden="false" customHeight="false" outlineLevel="0" collapsed="false">
      <c r="A2591" s="6" t="str">
        <f aca="false">HYPERLINK("https://www.fabsurplus.com/sdi_catalog/salesItemDetails.do?id=98047")</f>
        <v>https://www.fabsurplus.com/sdi_catalog/salesItemDetails.do?id=98047</v>
      </c>
      <c r="B2591" s="6" t="s">
        <v>5865</v>
      </c>
      <c r="C2591" s="6" t="s">
        <v>5866</v>
      </c>
      <c r="D2591" s="6" t="s">
        <v>5867</v>
      </c>
      <c r="E2591" s="6" t="s">
        <v>5815</v>
      </c>
      <c r="F2591" s="6" t="s">
        <v>16</v>
      </c>
      <c r="G2591" s="6" t="s">
        <v>310</v>
      </c>
      <c r="H2591" s="6"/>
      <c r="I2591" s="7" t="n">
        <v>40695</v>
      </c>
      <c r="J2591" s="6" t="s">
        <v>19</v>
      </c>
      <c r="K2591" s="6"/>
    </row>
    <row r="2592" customFormat="false" ht="12.8" hidden="false" customHeight="false" outlineLevel="0" collapsed="false">
      <c r="A2592" s="8" t="str">
        <f aca="false">HYPERLINK("https://www.fabsurplus.com/sdi_catalog/salesItemDetails.do?id=100057")</f>
        <v>https://www.fabsurplus.com/sdi_catalog/salesItemDetails.do?id=100057</v>
      </c>
      <c r="B2592" s="8" t="s">
        <v>5868</v>
      </c>
      <c r="C2592" s="8" t="s">
        <v>5869</v>
      </c>
      <c r="D2592" s="8" t="s">
        <v>5870</v>
      </c>
      <c r="E2592" s="8" t="s">
        <v>5871</v>
      </c>
      <c r="F2592" s="8" t="s">
        <v>962</v>
      </c>
      <c r="G2592" s="8" t="s">
        <v>38</v>
      </c>
      <c r="H2592" s="8" t="s">
        <v>18</v>
      </c>
      <c r="I2592" s="9" t="n">
        <v>40695</v>
      </c>
      <c r="J2592" s="8" t="s">
        <v>81</v>
      </c>
      <c r="K2592" s="8" t="s">
        <v>20</v>
      </c>
    </row>
    <row r="2593" customFormat="false" ht="12.8" hidden="false" customHeight="false" outlineLevel="0" collapsed="false">
      <c r="A2593" s="8" t="str">
        <f aca="false">HYPERLINK("https://www.fabsurplus.com/sdi_catalog/salesItemDetails.do?id=100753")</f>
        <v>https://www.fabsurplus.com/sdi_catalog/salesItemDetails.do?id=100753</v>
      </c>
      <c r="B2593" s="8" t="s">
        <v>5872</v>
      </c>
      <c r="C2593" s="8" t="s">
        <v>5873</v>
      </c>
      <c r="D2593" s="8" t="s">
        <v>5874</v>
      </c>
      <c r="E2593" s="8" t="s">
        <v>2403</v>
      </c>
      <c r="F2593" s="8" t="s">
        <v>611</v>
      </c>
      <c r="G2593" s="8"/>
      <c r="H2593" s="8"/>
      <c r="I2593" s="9" t="n">
        <v>39600</v>
      </c>
      <c r="J2593" s="8" t="s">
        <v>19</v>
      </c>
      <c r="K2593" s="8"/>
    </row>
    <row r="2594" customFormat="false" ht="12.8" hidden="false" customHeight="false" outlineLevel="0" collapsed="false">
      <c r="A2594" s="6" t="str">
        <f aca="false">HYPERLINK("https://www.fabsurplus.com/sdi_catalog/salesItemDetails.do?id=100754")</f>
        <v>https://www.fabsurplus.com/sdi_catalog/salesItemDetails.do?id=100754</v>
      </c>
      <c r="B2594" s="6" t="s">
        <v>5875</v>
      </c>
      <c r="C2594" s="6" t="s">
        <v>5873</v>
      </c>
      <c r="D2594" s="6" t="s">
        <v>5876</v>
      </c>
      <c r="E2594" s="6" t="s">
        <v>2403</v>
      </c>
      <c r="F2594" s="6" t="s">
        <v>16</v>
      </c>
      <c r="G2594" s="6"/>
      <c r="H2594" s="6"/>
      <c r="I2594" s="6"/>
      <c r="J2594" s="6" t="s">
        <v>19</v>
      </c>
      <c r="K2594" s="6"/>
    </row>
    <row r="2595" customFormat="false" ht="12.8" hidden="false" customHeight="false" outlineLevel="0" collapsed="false">
      <c r="A2595" s="8" t="str">
        <f aca="false">HYPERLINK("https://www.fabsurplus.com/sdi_catalog/salesItemDetails.do?id=100755")</f>
        <v>https://www.fabsurplus.com/sdi_catalog/salesItemDetails.do?id=100755</v>
      </c>
      <c r="B2595" s="8" t="s">
        <v>5877</v>
      </c>
      <c r="C2595" s="8" t="s">
        <v>5873</v>
      </c>
      <c r="D2595" s="8" t="s">
        <v>5878</v>
      </c>
      <c r="E2595" s="8" t="s">
        <v>2403</v>
      </c>
      <c r="F2595" s="8" t="s">
        <v>611</v>
      </c>
      <c r="G2595" s="8"/>
      <c r="H2595" s="8"/>
      <c r="I2595" s="8"/>
      <c r="J2595" s="8" t="s">
        <v>19</v>
      </c>
      <c r="K2595" s="8"/>
    </row>
    <row r="2596" customFormat="false" ht="12.8" hidden="false" customHeight="false" outlineLevel="0" collapsed="false">
      <c r="A2596" s="6" t="str">
        <f aca="false">HYPERLINK("https://www.fabsurplus.com/sdi_catalog/salesItemDetails.do?id=99365")</f>
        <v>https://www.fabsurplus.com/sdi_catalog/salesItemDetails.do?id=99365</v>
      </c>
      <c r="B2596" s="6" t="s">
        <v>5879</v>
      </c>
      <c r="C2596" s="6" t="s">
        <v>5880</v>
      </c>
      <c r="D2596" s="6" t="s">
        <v>5881</v>
      </c>
      <c r="E2596" s="6" t="s">
        <v>1856</v>
      </c>
      <c r="F2596" s="6" t="s">
        <v>626</v>
      </c>
      <c r="G2596" s="6"/>
      <c r="H2596" s="6"/>
      <c r="I2596" s="7" t="n">
        <v>35947</v>
      </c>
      <c r="J2596" s="6" t="s">
        <v>19</v>
      </c>
      <c r="K2596" s="6"/>
    </row>
    <row r="2597" customFormat="false" ht="12.8" hidden="false" customHeight="false" outlineLevel="0" collapsed="false">
      <c r="A2597" s="6" t="str">
        <f aca="false">HYPERLINK("https://www.fabsurplus.com/sdi_catalog/salesItemDetails.do?id=99367")</f>
        <v>https://www.fabsurplus.com/sdi_catalog/salesItemDetails.do?id=99367</v>
      </c>
      <c r="B2597" s="6" t="s">
        <v>5882</v>
      </c>
      <c r="C2597" s="6" t="s">
        <v>5880</v>
      </c>
      <c r="D2597" s="6" t="s">
        <v>5883</v>
      </c>
      <c r="E2597" s="6" t="s">
        <v>1842</v>
      </c>
      <c r="F2597" s="6" t="s">
        <v>879</v>
      </c>
      <c r="G2597" s="6"/>
      <c r="H2597" s="6"/>
      <c r="I2597" s="7" t="n">
        <v>35217</v>
      </c>
      <c r="J2597" s="6" t="s">
        <v>19</v>
      </c>
      <c r="K2597" s="6"/>
    </row>
    <row r="2598" customFormat="false" ht="12.8" hidden="false" customHeight="false" outlineLevel="0" collapsed="false">
      <c r="A2598" s="8" t="str">
        <f aca="false">HYPERLINK("https://www.fabsurplus.com/sdi_catalog/salesItemDetails.do?id=99368")</f>
        <v>https://www.fabsurplus.com/sdi_catalog/salesItemDetails.do?id=99368</v>
      </c>
      <c r="B2598" s="8" t="s">
        <v>5884</v>
      </c>
      <c r="C2598" s="8" t="s">
        <v>5880</v>
      </c>
      <c r="D2598" s="8" t="s">
        <v>5885</v>
      </c>
      <c r="E2598" s="8" t="s">
        <v>1842</v>
      </c>
      <c r="F2598" s="8" t="s">
        <v>626</v>
      </c>
      <c r="G2598" s="8"/>
      <c r="H2598" s="8"/>
      <c r="I2598" s="9" t="n">
        <v>35947</v>
      </c>
      <c r="J2598" s="8" t="s">
        <v>19</v>
      </c>
      <c r="K2598" s="8"/>
    </row>
    <row r="2599" customFormat="false" ht="12.8" hidden="false" customHeight="false" outlineLevel="0" collapsed="false">
      <c r="A2599" s="8" t="str">
        <f aca="false">HYPERLINK("https://www.fabsurplus.com/sdi_catalog/salesItemDetails.do?id=99372")</f>
        <v>https://www.fabsurplus.com/sdi_catalog/salesItemDetails.do?id=99372</v>
      </c>
      <c r="B2599" s="8" t="s">
        <v>5886</v>
      </c>
      <c r="C2599" s="8" t="s">
        <v>5880</v>
      </c>
      <c r="D2599" s="8" t="s">
        <v>5887</v>
      </c>
      <c r="E2599" s="8" t="s">
        <v>1842</v>
      </c>
      <c r="F2599" s="8" t="s">
        <v>16</v>
      </c>
      <c r="G2599" s="8"/>
      <c r="H2599" s="8"/>
      <c r="I2599" s="9" t="n">
        <v>37773</v>
      </c>
      <c r="J2599" s="8" t="s">
        <v>19</v>
      </c>
      <c r="K2599" s="8"/>
    </row>
    <row r="2600" customFormat="false" ht="12.8" hidden="false" customHeight="false" outlineLevel="0" collapsed="false">
      <c r="A2600" s="6" t="str">
        <f aca="false">HYPERLINK("https://www.fabsurplus.com/sdi_catalog/salesItemDetails.do?id=99371")</f>
        <v>https://www.fabsurplus.com/sdi_catalog/salesItemDetails.do?id=99371</v>
      </c>
      <c r="B2600" s="6" t="s">
        <v>5888</v>
      </c>
      <c r="C2600" s="6" t="s">
        <v>5880</v>
      </c>
      <c r="D2600" s="6" t="s">
        <v>5887</v>
      </c>
      <c r="E2600" s="6" t="s">
        <v>1842</v>
      </c>
      <c r="F2600" s="6" t="s">
        <v>16</v>
      </c>
      <c r="G2600" s="6"/>
      <c r="H2600" s="6"/>
      <c r="I2600" s="7" t="n">
        <v>36678</v>
      </c>
      <c r="J2600" s="6" t="s">
        <v>19</v>
      </c>
      <c r="K2600" s="6"/>
    </row>
    <row r="2601" customFormat="false" ht="12.8" hidden="false" customHeight="false" outlineLevel="0" collapsed="false">
      <c r="A2601" s="8" t="str">
        <f aca="false">HYPERLINK("https://www.fabsurplus.com/sdi_catalog/salesItemDetails.do?id=99370")</f>
        <v>https://www.fabsurplus.com/sdi_catalog/salesItemDetails.do?id=99370</v>
      </c>
      <c r="B2601" s="8" t="s">
        <v>5889</v>
      </c>
      <c r="C2601" s="8" t="s">
        <v>5880</v>
      </c>
      <c r="D2601" s="8" t="s">
        <v>5887</v>
      </c>
      <c r="E2601" s="8" t="s">
        <v>1842</v>
      </c>
      <c r="F2601" s="8" t="s">
        <v>16</v>
      </c>
      <c r="G2601" s="8"/>
      <c r="H2601" s="8"/>
      <c r="I2601" s="9" t="n">
        <v>36678</v>
      </c>
      <c r="J2601" s="8" t="s">
        <v>19</v>
      </c>
      <c r="K2601" s="8"/>
    </row>
    <row r="2602" customFormat="false" ht="12.8" hidden="false" customHeight="false" outlineLevel="0" collapsed="false">
      <c r="A2602" s="6" t="str">
        <f aca="false">HYPERLINK("https://www.fabsurplus.com/sdi_catalog/salesItemDetails.do?id=99369")</f>
        <v>https://www.fabsurplus.com/sdi_catalog/salesItemDetails.do?id=99369</v>
      </c>
      <c r="B2602" s="6" t="s">
        <v>5890</v>
      </c>
      <c r="C2602" s="6" t="s">
        <v>5880</v>
      </c>
      <c r="D2602" s="6" t="s">
        <v>5887</v>
      </c>
      <c r="E2602" s="6" t="s">
        <v>1842</v>
      </c>
      <c r="F2602" s="6" t="s">
        <v>16</v>
      </c>
      <c r="G2602" s="6"/>
      <c r="H2602" s="6"/>
      <c r="I2602" s="7" t="n">
        <v>37043</v>
      </c>
      <c r="J2602" s="6" t="s">
        <v>19</v>
      </c>
      <c r="K2602" s="6"/>
    </row>
    <row r="2603" customFormat="false" ht="12.8" hidden="false" customHeight="false" outlineLevel="0" collapsed="false">
      <c r="A2603" s="8" t="str">
        <f aca="false">HYPERLINK("https://www.fabsurplus.com/sdi_catalog/salesItemDetails.do?id=99366")</f>
        <v>https://www.fabsurplus.com/sdi_catalog/salesItemDetails.do?id=99366</v>
      </c>
      <c r="B2603" s="8" t="s">
        <v>5891</v>
      </c>
      <c r="C2603" s="8" t="s">
        <v>5880</v>
      </c>
      <c r="D2603" s="8" t="s">
        <v>5892</v>
      </c>
      <c r="E2603" s="8" t="s">
        <v>1842</v>
      </c>
      <c r="F2603" s="8" t="s">
        <v>626</v>
      </c>
      <c r="G2603" s="8"/>
      <c r="H2603" s="8"/>
      <c r="I2603" s="9" t="n">
        <v>36678</v>
      </c>
      <c r="J2603" s="8" t="s">
        <v>19</v>
      </c>
      <c r="K2603" s="8"/>
    </row>
    <row r="2604" customFormat="false" ht="12.8" hidden="false" customHeight="false" outlineLevel="0" collapsed="false">
      <c r="A2604" s="8" t="str">
        <f aca="false">HYPERLINK("https://www.fabsurplus.com/sdi_catalog/salesItemDetails.do?id=99433")</f>
        <v>https://www.fabsurplus.com/sdi_catalog/salesItemDetails.do?id=99433</v>
      </c>
      <c r="B2604" s="8" t="s">
        <v>5893</v>
      </c>
      <c r="C2604" s="8" t="s">
        <v>5894</v>
      </c>
      <c r="D2604" s="8" t="s">
        <v>5895</v>
      </c>
      <c r="E2604" s="8" t="s">
        <v>5896</v>
      </c>
      <c r="F2604" s="8" t="s">
        <v>16</v>
      </c>
      <c r="G2604" s="8" t="s">
        <v>328</v>
      </c>
      <c r="H2604" s="8"/>
      <c r="I2604" s="9" t="n">
        <v>36678</v>
      </c>
      <c r="J2604" s="8" t="s">
        <v>19</v>
      </c>
      <c r="K2604" s="8"/>
    </row>
    <row r="2605" customFormat="false" ht="12.8" hidden="false" customHeight="false" outlineLevel="0" collapsed="false">
      <c r="A2605" s="8" t="str">
        <f aca="false">HYPERLINK("https://www.fabsurplus.com/sdi_catalog/salesItemDetails.do?id=97887")</f>
        <v>https://www.fabsurplus.com/sdi_catalog/salesItemDetails.do?id=97887</v>
      </c>
      <c r="B2605" s="8" t="s">
        <v>5897</v>
      </c>
      <c r="C2605" s="8" t="s">
        <v>5898</v>
      </c>
      <c r="D2605" s="8" t="s">
        <v>5899</v>
      </c>
      <c r="E2605" s="8" t="s">
        <v>5900</v>
      </c>
      <c r="F2605" s="8" t="s">
        <v>16</v>
      </c>
      <c r="G2605" s="8"/>
      <c r="H2605" s="8"/>
      <c r="I2605" s="9" t="n">
        <v>39600</v>
      </c>
      <c r="J2605" s="8" t="s">
        <v>19</v>
      </c>
      <c r="K2605" s="8"/>
    </row>
    <row r="2606" customFormat="false" ht="12.8" hidden="false" customHeight="false" outlineLevel="0" collapsed="false">
      <c r="A2606" s="8" t="str">
        <f aca="false">HYPERLINK("https://www.fabsurplus.com/sdi_catalog/salesItemDetails.do?id=100332")</f>
        <v>https://www.fabsurplus.com/sdi_catalog/salesItemDetails.do?id=100332</v>
      </c>
      <c r="B2606" s="8" t="s">
        <v>5901</v>
      </c>
      <c r="C2606" s="8" t="s">
        <v>5902</v>
      </c>
      <c r="D2606" s="8" t="s">
        <v>5903</v>
      </c>
      <c r="E2606" s="8" t="s">
        <v>836</v>
      </c>
      <c r="F2606" s="8" t="s">
        <v>16</v>
      </c>
      <c r="G2606" s="8" t="s">
        <v>837</v>
      </c>
      <c r="H2606" s="8"/>
      <c r="I2606" s="8"/>
      <c r="J2606" s="8" t="s">
        <v>19</v>
      </c>
      <c r="K2606" s="8"/>
    </row>
    <row r="2607" customFormat="false" ht="12.8" hidden="false" customHeight="false" outlineLevel="0" collapsed="false">
      <c r="A2607" s="6" t="str">
        <f aca="false">HYPERLINK("https://www.fabsurplus.com/sdi_catalog/salesItemDetails.do?id=100331")</f>
        <v>https://www.fabsurplus.com/sdi_catalog/salesItemDetails.do?id=100331</v>
      </c>
      <c r="B2607" s="6" t="s">
        <v>5904</v>
      </c>
      <c r="C2607" s="6" t="s">
        <v>5902</v>
      </c>
      <c r="D2607" s="6" t="s">
        <v>5903</v>
      </c>
      <c r="E2607" s="6" t="s">
        <v>836</v>
      </c>
      <c r="F2607" s="6" t="s">
        <v>16</v>
      </c>
      <c r="G2607" s="6" t="s">
        <v>837</v>
      </c>
      <c r="H2607" s="6"/>
      <c r="I2607" s="6"/>
      <c r="J2607" s="6" t="s">
        <v>19</v>
      </c>
      <c r="K2607" s="6"/>
    </row>
    <row r="2608" customFormat="false" ht="12.8" hidden="false" customHeight="false" outlineLevel="0" collapsed="false">
      <c r="A2608" s="8" t="str">
        <f aca="false">HYPERLINK("https://www.fabsurplus.com/sdi_catalog/salesItemDetails.do?id=100330")</f>
        <v>https://www.fabsurplus.com/sdi_catalog/salesItemDetails.do?id=100330</v>
      </c>
      <c r="B2608" s="8" t="s">
        <v>5905</v>
      </c>
      <c r="C2608" s="8" t="s">
        <v>5902</v>
      </c>
      <c r="D2608" s="8" t="s">
        <v>5903</v>
      </c>
      <c r="E2608" s="8" t="s">
        <v>836</v>
      </c>
      <c r="F2608" s="8" t="s">
        <v>16</v>
      </c>
      <c r="G2608" s="8" t="s">
        <v>837</v>
      </c>
      <c r="H2608" s="8"/>
      <c r="I2608" s="8"/>
      <c r="J2608" s="8" t="s">
        <v>19</v>
      </c>
      <c r="K2608" s="8"/>
    </row>
    <row r="2609" customFormat="false" ht="12.8" hidden="false" customHeight="false" outlineLevel="0" collapsed="false">
      <c r="A2609" s="6" t="str">
        <f aca="false">HYPERLINK("https://www.fabsurplus.com/sdi_catalog/salesItemDetails.do?id=100329")</f>
        <v>https://www.fabsurplus.com/sdi_catalog/salesItemDetails.do?id=100329</v>
      </c>
      <c r="B2609" s="6" t="s">
        <v>5906</v>
      </c>
      <c r="C2609" s="6" t="s">
        <v>5902</v>
      </c>
      <c r="D2609" s="6" t="s">
        <v>5903</v>
      </c>
      <c r="E2609" s="6" t="s">
        <v>836</v>
      </c>
      <c r="F2609" s="6" t="s">
        <v>16</v>
      </c>
      <c r="G2609" s="6" t="s">
        <v>837</v>
      </c>
      <c r="H2609" s="6"/>
      <c r="I2609" s="6"/>
      <c r="J2609" s="6" t="s">
        <v>19</v>
      </c>
      <c r="K2609" s="6"/>
    </row>
    <row r="2610" customFormat="false" ht="12.8" hidden="false" customHeight="false" outlineLevel="0" collapsed="false">
      <c r="A2610" s="8" t="str">
        <f aca="false">HYPERLINK("https://www.fabsurplus.com/sdi_catalog/salesItemDetails.do?id=100328")</f>
        <v>https://www.fabsurplus.com/sdi_catalog/salesItemDetails.do?id=100328</v>
      </c>
      <c r="B2610" s="8" t="s">
        <v>5907</v>
      </c>
      <c r="C2610" s="8" t="s">
        <v>5902</v>
      </c>
      <c r="D2610" s="8" t="s">
        <v>5903</v>
      </c>
      <c r="E2610" s="8" t="s">
        <v>836</v>
      </c>
      <c r="F2610" s="8" t="s">
        <v>16</v>
      </c>
      <c r="G2610" s="8" t="s">
        <v>837</v>
      </c>
      <c r="H2610" s="8"/>
      <c r="I2610" s="8"/>
      <c r="J2610" s="8" t="s">
        <v>19</v>
      </c>
      <c r="K2610" s="8"/>
    </row>
    <row r="2611" customFormat="false" ht="12.8" hidden="false" customHeight="false" outlineLevel="0" collapsed="false">
      <c r="A2611" s="6" t="str">
        <f aca="false">HYPERLINK("https://www.fabsurplus.com/sdi_catalog/salesItemDetails.do?id=100327")</f>
        <v>https://www.fabsurplus.com/sdi_catalog/salesItemDetails.do?id=100327</v>
      </c>
      <c r="B2611" s="6" t="s">
        <v>5908</v>
      </c>
      <c r="C2611" s="6" t="s">
        <v>5902</v>
      </c>
      <c r="D2611" s="6" t="s">
        <v>5909</v>
      </c>
      <c r="E2611" s="6" t="s">
        <v>836</v>
      </c>
      <c r="F2611" s="6" t="s">
        <v>16</v>
      </c>
      <c r="G2611" s="6" t="s">
        <v>837</v>
      </c>
      <c r="H2611" s="6"/>
      <c r="I2611" s="6"/>
      <c r="J2611" s="6" t="s">
        <v>19</v>
      </c>
      <c r="K2611" s="6"/>
    </row>
    <row r="2612" customFormat="false" ht="12.8" hidden="false" customHeight="false" outlineLevel="0" collapsed="false">
      <c r="A2612" s="8" t="str">
        <f aca="false">HYPERLINK("https://www.fabsurplus.com/sdi_catalog/salesItemDetails.do?id=100326")</f>
        <v>https://www.fabsurplus.com/sdi_catalog/salesItemDetails.do?id=100326</v>
      </c>
      <c r="B2612" s="8" t="s">
        <v>5910</v>
      </c>
      <c r="C2612" s="8" t="s">
        <v>5902</v>
      </c>
      <c r="D2612" s="8" t="s">
        <v>5909</v>
      </c>
      <c r="E2612" s="8" t="s">
        <v>836</v>
      </c>
      <c r="F2612" s="8" t="s">
        <v>16</v>
      </c>
      <c r="G2612" s="8" t="s">
        <v>837</v>
      </c>
      <c r="H2612" s="8"/>
      <c r="I2612" s="8"/>
      <c r="J2612" s="8" t="s">
        <v>19</v>
      </c>
      <c r="K2612" s="8"/>
    </row>
    <row r="2613" customFormat="false" ht="12.8" hidden="false" customHeight="false" outlineLevel="0" collapsed="false">
      <c r="A2613" s="6" t="str">
        <f aca="false">HYPERLINK("https://www.fabsurplus.com/sdi_catalog/salesItemDetails.do?id=100027")</f>
        <v>https://www.fabsurplus.com/sdi_catalog/salesItemDetails.do?id=100027</v>
      </c>
      <c r="B2613" s="6" t="s">
        <v>5911</v>
      </c>
      <c r="C2613" s="6" t="s">
        <v>5912</v>
      </c>
      <c r="D2613" s="6" t="s">
        <v>5913</v>
      </c>
      <c r="E2613" s="6" t="s">
        <v>5914</v>
      </c>
      <c r="F2613" s="6" t="s">
        <v>611</v>
      </c>
      <c r="G2613" s="6" t="s">
        <v>417</v>
      </c>
      <c r="H2613" s="6" t="s">
        <v>33</v>
      </c>
      <c r="I2613" s="7" t="n">
        <v>41791</v>
      </c>
      <c r="J2613" s="6" t="s">
        <v>19</v>
      </c>
      <c r="K2613" s="6" t="s">
        <v>20</v>
      </c>
    </row>
    <row r="2614" customFormat="false" ht="12.8" hidden="false" customHeight="false" outlineLevel="0" collapsed="false">
      <c r="A2614" s="8" t="str">
        <f aca="false">HYPERLINK("https://www.fabsurplus.com/sdi_catalog/salesItemDetails.do?id=98015")</f>
        <v>https://www.fabsurplus.com/sdi_catalog/salesItemDetails.do?id=98015</v>
      </c>
      <c r="B2614" s="8" t="s">
        <v>5915</v>
      </c>
      <c r="C2614" s="8" t="s">
        <v>5916</v>
      </c>
      <c r="D2614" s="8" t="s">
        <v>5917</v>
      </c>
      <c r="E2614" s="8" t="s">
        <v>5918</v>
      </c>
      <c r="F2614" s="8" t="s">
        <v>16</v>
      </c>
      <c r="G2614" s="8" t="s">
        <v>32</v>
      </c>
      <c r="H2614" s="8"/>
      <c r="I2614" s="9" t="n">
        <v>37408</v>
      </c>
      <c r="J2614" s="8" t="s">
        <v>19</v>
      </c>
      <c r="K2614" s="8"/>
    </row>
    <row r="2615" customFormat="false" ht="12.8" hidden="false" customHeight="false" outlineLevel="0" collapsed="false">
      <c r="A2615" s="8" t="str">
        <f aca="false">HYPERLINK("https://www.fabsurplus.com/sdi_catalog/salesItemDetails.do?id=98017")</f>
        <v>https://www.fabsurplus.com/sdi_catalog/salesItemDetails.do?id=98017</v>
      </c>
      <c r="B2615" s="8" t="s">
        <v>5919</v>
      </c>
      <c r="C2615" s="8" t="s">
        <v>5916</v>
      </c>
      <c r="D2615" s="8" t="s">
        <v>5920</v>
      </c>
      <c r="E2615" s="8" t="s">
        <v>5918</v>
      </c>
      <c r="F2615" s="8" t="s">
        <v>16</v>
      </c>
      <c r="G2615" s="8" t="s">
        <v>32</v>
      </c>
      <c r="H2615" s="8"/>
      <c r="I2615" s="9" t="n">
        <v>37408</v>
      </c>
      <c r="J2615" s="8" t="s">
        <v>19</v>
      </c>
      <c r="K2615" s="8"/>
    </row>
    <row r="2616" customFormat="false" ht="12.8" hidden="false" customHeight="false" outlineLevel="0" collapsed="false">
      <c r="A2616" s="6" t="str">
        <f aca="false">HYPERLINK("https://www.fabsurplus.com/sdi_catalog/salesItemDetails.do?id=98016")</f>
        <v>https://www.fabsurplus.com/sdi_catalog/salesItemDetails.do?id=98016</v>
      </c>
      <c r="B2616" s="6" t="s">
        <v>5921</v>
      </c>
      <c r="C2616" s="6" t="s">
        <v>5916</v>
      </c>
      <c r="D2616" s="6" t="s">
        <v>5920</v>
      </c>
      <c r="E2616" s="6" t="s">
        <v>5918</v>
      </c>
      <c r="F2616" s="6" t="s">
        <v>16</v>
      </c>
      <c r="G2616" s="6" t="s">
        <v>32</v>
      </c>
      <c r="H2616" s="6"/>
      <c r="I2616" s="7" t="n">
        <v>37408</v>
      </c>
      <c r="J2616" s="6" t="s">
        <v>19</v>
      </c>
      <c r="K2616" s="6"/>
    </row>
    <row r="2617" customFormat="false" ht="12.8" hidden="false" customHeight="false" outlineLevel="0" collapsed="false">
      <c r="A2617" s="6" t="str">
        <f aca="false">HYPERLINK("https://www.fabsurplus.com/sdi_catalog/salesItemDetails.do?id=97079")</f>
        <v>https://www.fabsurplus.com/sdi_catalog/salesItemDetails.do?id=97079</v>
      </c>
      <c r="B2617" s="6" t="s">
        <v>5922</v>
      </c>
      <c r="C2617" s="6" t="s">
        <v>5923</v>
      </c>
      <c r="D2617" s="6" t="s">
        <v>5924</v>
      </c>
      <c r="E2617" s="6" t="s">
        <v>5925</v>
      </c>
      <c r="F2617" s="6" t="s">
        <v>16</v>
      </c>
      <c r="G2617" s="6"/>
      <c r="H2617" s="6" t="s">
        <v>33</v>
      </c>
      <c r="I2617" s="7" t="n">
        <v>41244</v>
      </c>
      <c r="J2617" s="6" t="s">
        <v>81</v>
      </c>
      <c r="K2617" s="6"/>
    </row>
    <row r="2618" customFormat="false" ht="12.8" hidden="false" customHeight="false" outlineLevel="0" collapsed="false">
      <c r="A2618" s="6" t="str">
        <f aca="false">HYPERLINK("https://www.fabsurplus.com/sdi_catalog/salesItemDetails.do?id=97981")</f>
        <v>https://www.fabsurplus.com/sdi_catalog/salesItemDetails.do?id=97981</v>
      </c>
      <c r="B2618" s="6" t="s">
        <v>5926</v>
      </c>
      <c r="C2618" s="6" t="s">
        <v>5927</v>
      </c>
      <c r="D2618" s="6" t="s">
        <v>5928</v>
      </c>
      <c r="E2618" s="6" t="s">
        <v>5929</v>
      </c>
      <c r="F2618" s="6" t="s">
        <v>16</v>
      </c>
      <c r="G2618" s="6" t="s">
        <v>1455</v>
      </c>
      <c r="H2618" s="6"/>
      <c r="I2618" s="6"/>
      <c r="J2618" s="6" t="s">
        <v>81</v>
      </c>
      <c r="K2618" s="6"/>
    </row>
    <row r="2619" customFormat="false" ht="12.8" hidden="false" customHeight="false" outlineLevel="0" collapsed="false">
      <c r="A2619" s="8" t="str">
        <f aca="false">HYPERLINK("https://www.fabsurplus.com/sdi_catalog/salesItemDetails.do?id=97982")</f>
        <v>https://www.fabsurplus.com/sdi_catalog/salesItemDetails.do?id=97982</v>
      </c>
      <c r="B2619" s="8" t="s">
        <v>5930</v>
      </c>
      <c r="C2619" s="8" t="s">
        <v>5927</v>
      </c>
      <c r="D2619" s="8" t="s">
        <v>5931</v>
      </c>
      <c r="E2619" s="8" t="s">
        <v>5131</v>
      </c>
      <c r="F2619" s="8" t="s">
        <v>2540</v>
      </c>
      <c r="G2619" s="8" t="s">
        <v>1455</v>
      </c>
      <c r="H2619" s="8"/>
      <c r="I2619" s="8"/>
      <c r="J2619" s="8" t="s">
        <v>81</v>
      </c>
      <c r="K2619" s="8"/>
    </row>
    <row r="2620" customFormat="false" ht="12.8" hidden="false" customHeight="false" outlineLevel="0" collapsed="false">
      <c r="A2620" s="6" t="str">
        <f aca="false">HYPERLINK("https://www.fabsurplus.com/sdi_catalog/salesItemDetails.do?id=98369")</f>
        <v>https://www.fabsurplus.com/sdi_catalog/salesItemDetails.do?id=98369</v>
      </c>
      <c r="B2620" s="6" t="s">
        <v>5932</v>
      </c>
      <c r="C2620" s="6" t="s">
        <v>5933</v>
      </c>
      <c r="D2620" s="6" t="s">
        <v>5934</v>
      </c>
      <c r="E2620" s="6" t="s">
        <v>1681</v>
      </c>
      <c r="F2620" s="6" t="s">
        <v>16</v>
      </c>
      <c r="G2620" s="6" t="s">
        <v>32</v>
      </c>
      <c r="H2620" s="6"/>
      <c r="I2620" s="7" t="n">
        <v>38139</v>
      </c>
      <c r="J2620" s="6" t="s">
        <v>81</v>
      </c>
      <c r="K2620" s="6"/>
    </row>
    <row r="2621" customFormat="false" ht="12.8" hidden="false" customHeight="false" outlineLevel="0" collapsed="false">
      <c r="A2621" s="8" t="str">
        <f aca="false">HYPERLINK("https://www.fabsurplus.com/sdi_catalog/salesItemDetails.do?id=97901")</f>
        <v>https://www.fabsurplus.com/sdi_catalog/salesItemDetails.do?id=97901</v>
      </c>
      <c r="B2621" s="8" t="s">
        <v>5935</v>
      </c>
      <c r="C2621" s="8" t="s">
        <v>5936</v>
      </c>
      <c r="D2621" s="8" t="s">
        <v>5937</v>
      </c>
      <c r="E2621" s="8" t="s">
        <v>5938</v>
      </c>
      <c r="F2621" s="8" t="s">
        <v>16</v>
      </c>
      <c r="G2621" s="8"/>
      <c r="H2621" s="8"/>
      <c r="I2621" s="9" t="n">
        <v>39234</v>
      </c>
      <c r="J2621" s="8" t="s">
        <v>19</v>
      </c>
      <c r="K2621" s="8"/>
    </row>
    <row r="2622" customFormat="false" ht="12.8" hidden="false" customHeight="false" outlineLevel="0" collapsed="false">
      <c r="A2622" s="8" t="str">
        <f aca="false">HYPERLINK("https://www.fabsurplus.com/sdi_catalog/salesItemDetails.do?id=98372")</f>
        <v>https://www.fabsurplus.com/sdi_catalog/salesItemDetails.do?id=98372</v>
      </c>
      <c r="B2622" s="8" t="s">
        <v>5939</v>
      </c>
      <c r="C2622" s="8" t="s">
        <v>5940</v>
      </c>
      <c r="D2622" s="8" t="s">
        <v>5941</v>
      </c>
      <c r="E2622" s="8" t="s">
        <v>5942</v>
      </c>
      <c r="F2622" s="8" t="s">
        <v>16</v>
      </c>
      <c r="G2622" s="8" t="s">
        <v>32</v>
      </c>
      <c r="H2622" s="8"/>
      <c r="I2622" s="8"/>
      <c r="J2622" s="8" t="s">
        <v>81</v>
      </c>
      <c r="K2622" s="8"/>
    </row>
    <row r="2623" customFormat="false" ht="12.8" hidden="false" customHeight="false" outlineLevel="0" collapsed="false">
      <c r="A2623" s="6" t="str">
        <f aca="false">HYPERLINK("https://www.fabsurplus.com/sdi_catalog/salesItemDetails.do?id=98371")</f>
        <v>https://www.fabsurplus.com/sdi_catalog/salesItemDetails.do?id=98371</v>
      </c>
      <c r="B2623" s="6" t="s">
        <v>5943</v>
      </c>
      <c r="C2623" s="6" t="s">
        <v>5940</v>
      </c>
      <c r="D2623" s="6" t="s">
        <v>5941</v>
      </c>
      <c r="E2623" s="6" t="s">
        <v>5942</v>
      </c>
      <c r="F2623" s="6" t="s">
        <v>16</v>
      </c>
      <c r="G2623" s="6" t="s">
        <v>32</v>
      </c>
      <c r="H2623" s="6"/>
      <c r="I2623" s="6"/>
      <c r="J2623" s="6" t="s">
        <v>81</v>
      </c>
      <c r="K2623" s="6"/>
    </row>
    <row r="2624" customFormat="false" ht="12.8" hidden="false" customHeight="false" outlineLevel="0" collapsed="false">
      <c r="A2624" s="8" t="str">
        <f aca="false">HYPERLINK("https://www.fabsurplus.com/sdi_catalog/salesItemDetails.do?id=98370")</f>
        <v>https://www.fabsurplus.com/sdi_catalog/salesItemDetails.do?id=98370</v>
      </c>
      <c r="B2624" s="8" t="s">
        <v>5944</v>
      </c>
      <c r="C2624" s="8" t="s">
        <v>5940</v>
      </c>
      <c r="D2624" s="8" t="s">
        <v>5941</v>
      </c>
      <c r="E2624" s="8" t="s">
        <v>5942</v>
      </c>
      <c r="F2624" s="8" t="s">
        <v>16</v>
      </c>
      <c r="G2624" s="8" t="s">
        <v>32</v>
      </c>
      <c r="H2624" s="8"/>
      <c r="I2624" s="8"/>
      <c r="J2624" s="8" t="s">
        <v>81</v>
      </c>
      <c r="K2624" s="8"/>
    </row>
    <row r="2625" customFormat="false" ht="12.8" hidden="false" customHeight="false" outlineLevel="0" collapsed="false">
      <c r="A2625" s="6" t="str">
        <f aca="false">HYPERLINK("https://www.fabsurplus.com/sdi_catalog/salesItemDetails.do?id=98440")</f>
        <v>https://www.fabsurplus.com/sdi_catalog/salesItemDetails.do?id=98440</v>
      </c>
      <c r="B2625" s="6" t="s">
        <v>5945</v>
      </c>
      <c r="C2625" s="6" t="s">
        <v>5946</v>
      </c>
      <c r="D2625" s="6" t="s">
        <v>5947</v>
      </c>
      <c r="E2625" s="6" t="s">
        <v>5948</v>
      </c>
      <c r="F2625" s="6" t="s">
        <v>16</v>
      </c>
      <c r="G2625" s="6" t="s">
        <v>372</v>
      </c>
      <c r="H2625" s="6"/>
      <c r="I2625" s="6"/>
      <c r="J2625" s="6" t="s">
        <v>19</v>
      </c>
      <c r="K2625" s="6"/>
    </row>
    <row r="2626" customFormat="false" ht="12.8" hidden="false" customHeight="false" outlineLevel="0" collapsed="false">
      <c r="A2626" s="8" t="str">
        <f aca="false">HYPERLINK("https://www.fabsurplus.com/sdi_catalog/salesItemDetails.do?id=100697")</f>
        <v>https://www.fabsurplus.com/sdi_catalog/salesItemDetails.do?id=100697</v>
      </c>
      <c r="B2626" s="8" t="s">
        <v>5949</v>
      </c>
      <c r="C2626" s="8" t="s">
        <v>5950</v>
      </c>
      <c r="D2626" s="8" t="s">
        <v>5951</v>
      </c>
      <c r="E2626" s="8" t="s">
        <v>5952</v>
      </c>
      <c r="F2626" s="8" t="s">
        <v>16</v>
      </c>
      <c r="G2626" s="8" t="s">
        <v>310</v>
      </c>
      <c r="H2626" s="8"/>
      <c r="I2626" s="8"/>
      <c r="J2626" s="8" t="s">
        <v>19</v>
      </c>
      <c r="K2626" s="8"/>
    </row>
    <row r="2627" customFormat="false" ht="12.8" hidden="false" customHeight="false" outlineLevel="0" collapsed="false">
      <c r="A2627" s="6" t="str">
        <f aca="false">HYPERLINK("https://www.fabsurplus.com/sdi_catalog/salesItemDetails.do?id=97983")</f>
        <v>https://www.fabsurplus.com/sdi_catalog/salesItemDetails.do?id=97983</v>
      </c>
      <c r="B2627" s="6" t="s">
        <v>5953</v>
      </c>
      <c r="C2627" s="6" t="s">
        <v>5946</v>
      </c>
      <c r="D2627" s="6" t="s">
        <v>5954</v>
      </c>
      <c r="E2627" s="6" t="s">
        <v>5955</v>
      </c>
      <c r="F2627" s="6" t="s">
        <v>16</v>
      </c>
      <c r="G2627" s="6" t="s">
        <v>1455</v>
      </c>
      <c r="H2627" s="6"/>
      <c r="I2627" s="6"/>
      <c r="J2627" s="6" t="s">
        <v>81</v>
      </c>
      <c r="K2627" s="6"/>
    </row>
    <row r="2628" customFormat="false" ht="12.8" hidden="false" customHeight="false" outlineLevel="0" collapsed="false">
      <c r="A2628" s="6" t="str">
        <f aca="false">HYPERLINK("https://www.fabsurplus.com/sdi_catalog/salesItemDetails.do?id=100710")</f>
        <v>https://www.fabsurplus.com/sdi_catalog/salesItemDetails.do?id=100710</v>
      </c>
      <c r="B2628" s="6" t="s">
        <v>5956</v>
      </c>
      <c r="C2628" s="6" t="s">
        <v>5957</v>
      </c>
      <c r="D2628" s="6" t="s">
        <v>5958</v>
      </c>
      <c r="E2628" s="6" t="s">
        <v>5959</v>
      </c>
      <c r="F2628" s="6" t="s">
        <v>16</v>
      </c>
      <c r="G2628" s="6"/>
      <c r="H2628" s="6"/>
      <c r="I2628" s="6"/>
      <c r="J2628" s="6" t="s">
        <v>19</v>
      </c>
      <c r="K2628" s="6"/>
    </row>
    <row r="2629" customFormat="false" ht="12.8" hidden="false" customHeight="false" outlineLevel="0" collapsed="false">
      <c r="A2629" s="6" t="str">
        <f aca="false">HYPERLINK("https://www.fabsurplus.com/sdi_catalog/salesItemDetails.do?id=100020")</f>
        <v>https://www.fabsurplus.com/sdi_catalog/salesItemDetails.do?id=100020</v>
      </c>
      <c r="B2629" s="6" t="s">
        <v>5960</v>
      </c>
      <c r="C2629" s="6" t="s">
        <v>5961</v>
      </c>
      <c r="D2629" s="6" t="s">
        <v>5962</v>
      </c>
      <c r="E2629" s="6" t="s">
        <v>5963</v>
      </c>
      <c r="F2629" s="6" t="s">
        <v>16</v>
      </c>
      <c r="G2629" s="6"/>
      <c r="H2629" s="6"/>
      <c r="I2629" s="7" t="n">
        <v>39600</v>
      </c>
      <c r="J2629" s="6" t="s">
        <v>19</v>
      </c>
      <c r="K2629" s="6"/>
    </row>
    <row r="2630" customFormat="false" ht="12.8" hidden="false" customHeight="false" outlineLevel="0" collapsed="false">
      <c r="A2630" s="8" t="str">
        <f aca="false">HYPERLINK("https://www.fabsurplus.com/sdi_catalog/salesItemDetails.do?id=98203")</f>
        <v>https://www.fabsurplus.com/sdi_catalog/salesItemDetails.do?id=98203</v>
      </c>
      <c r="B2630" s="8" t="s">
        <v>5964</v>
      </c>
      <c r="C2630" s="8" t="s">
        <v>5961</v>
      </c>
      <c r="D2630" s="8" t="s">
        <v>5965</v>
      </c>
      <c r="E2630" s="8" t="s">
        <v>1570</v>
      </c>
      <c r="F2630" s="8" t="s">
        <v>16</v>
      </c>
      <c r="G2630" s="8" t="s">
        <v>310</v>
      </c>
      <c r="H2630" s="8"/>
      <c r="I2630" s="9" t="n">
        <v>41426</v>
      </c>
      <c r="J2630" s="8" t="s">
        <v>19</v>
      </c>
      <c r="K2630" s="8"/>
    </row>
    <row r="2631" customFormat="false" ht="12.8" hidden="false" customHeight="false" outlineLevel="0" collapsed="false">
      <c r="A2631" s="6" t="str">
        <f aca="false">HYPERLINK("https://www.fabsurplus.com/sdi_catalog/salesItemDetails.do?id=98202")</f>
        <v>https://www.fabsurplus.com/sdi_catalog/salesItemDetails.do?id=98202</v>
      </c>
      <c r="B2631" s="6" t="s">
        <v>5966</v>
      </c>
      <c r="C2631" s="6" t="s">
        <v>5961</v>
      </c>
      <c r="D2631" s="6" t="s">
        <v>5965</v>
      </c>
      <c r="E2631" s="6" t="s">
        <v>1570</v>
      </c>
      <c r="F2631" s="6" t="s">
        <v>16</v>
      </c>
      <c r="G2631" s="6" t="s">
        <v>310</v>
      </c>
      <c r="H2631" s="6"/>
      <c r="I2631" s="6"/>
      <c r="J2631" s="6" t="s">
        <v>19</v>
      </c>
      <c r="K2631" s="6"/>
    </row>
    <row r="2632" customFormat="false" ht="12.8" hidden="false" customHeight="false" outlineLevel="0" collapsed="false">
      <c r="A2632" s="8" t="str">
        <f aca="false">HYPERLINK("https://www.fabsurplus.com/sdi_catalog/salesItemDetails.do?id=98201")</f>
        <v>https://www.fabsurplus.com/sdi_catalog/salesItemDetails.do?id=98201</v>
      </c>
      <c r="B2632" s="8" t="s">
        <v>5967</v>
      </c>
      <c r="C2632" s="8" t="s">
        <v>5961</v>
      </c>
      <c r="D2632" s="8" t="s">
        <v>5965</v>
      </c>
      <c r="E2632" s="8" t="s">
        <v>1570</v>
      </c>
      <c r="F2632" s="8" t="s">
        <v>16</v>
      </c>
      <c r="G2632" s="8" t="s">
        <v>310</v>
      </c>
      <c r="H2632" s="8"/>
      <c r="I2632" s="9" t="n">
        <v>39234</v>
      </c>
      <c r="J2632" s="8" t="s">
        <v>19</v>
      </c>
      <c r="K2632" s="8"/>
    </row>
    <row r="2633" customFormat="false" ht="12.8" hidden="false" customHeight="false" outlineLevel="0" collapsed="false">
      <c r="A2633" s="6" t="str">
        <f aca="false">HYPERLINK("https://www.fabsurplus.com/sdi_catalog/salesItemDetails.do?id=98200")</f>
        <v>https://www.fabsurplus.com/sdi_catalog/salesItemDetails.do?id=98200</v>
      </c>
      <c r="B2633" s="6" t="s">
        <v>5968</v>
      </c>
      <c r="C2633" s="6" t="s">
        <v>5961</v>
      </c>
      <c r="D2633" s="6" t="s">
        <v>5965</v>
      </c>
      <c r="E2633" s="6" t="s">
        <v>1570</v>
      </c>
      <c r="F2633" s="6" t="s">
        <v>16</v>
      </c>
      <c r="G2633" s="6" t="s">
        <v>310</v>
      </c>
      <c r="H2633" s="6"/>
      <c r="I2633" s="7" t="n">
        <v>39234</v>
      </c>
      <c r="J2633" s="6" t="s">
        <v>19</v>
      </c>
      <c r="K2633" s="6"/>
    </row>
    <row r="2634" customFormat="false" ht="12.8" hidden="false" customHeight="false" outlineLevel="0" collapsed="false">
      <c r="A2634" s="6" t="str">
        <f aca="false">HYPERLINK("https://www.fabsurplus.com/sdi_catalog/salesItemDetails.do?id=100334")</f>
        <v>https://www.fabsurplus.com/sdi_catalog/salesItemDetails.do?id=100334</v>
      </c>
      <c r="B2634" s="6" t="s">
        <v>5969</v>
      </c>
      <c r="C2634" s="6" t="s">
        <v>5961</v>
      </c>
      <c r="D2634" s="6" t="s">
        <v>5970</v>
      </c>
      <c r="E2634" s="6" t="s">
        <v>1599</v>
      </c>
      <c r="F2634" s="6" t="s">
        <v>16</v>
      </c>
      <c r="G2634" s="6" t="s">
        <v>686</v>
      </c>
      <c r="H2634" s="6"/>
      <c r="I2634" s="6"/>
      <c r="J2634" s="6" t="s">
        <v>19</v>
      </c>
      <c r="K2634" s="6"/>
    </row>
    <row r="2635" customFormat="false" ht="12.8" hidden="false" customHeight="false" outlineLevel="0" collapsed="false">
      <c r="A2635" s="6" t="str">
        <f aca="false">HYPERLINK("https://www.fabsurplus.com/sdi_catalog/salesItemDetails.do?id=100333")</f>
        <v>https://www.fabsurplus.com/sdi_catalog/salesItemDetails.do?id=100333</v>
      </c>
      <c r="B2635" s="6" t="s">
        <v>5971</v>
      </c>
      <c r="C2635" s="6" t="s">
        <v>5961</v>
      </c>
      <c r="D2635" s="6" t="s">
        <v>5970</v>
      </c>
      <c r="E2635" s="6" t="s">
        <v>1599</v>
      </c>
      <c r="F2635" s="6" t="s">
        <v>16</v>
      </c>
      <c r="G2635" s="6" t="s">
        <v>686</v>
      </c>
      <c r="H2635" s="6"/>
      <c r="I2635" s="6"/>
      <c r="J2635" s="6" t="s">
        <v>19</v>
      </c>
      <c r="K2635" s="6"/>
    </row>
    <row r="2636" customFormat="false" ht="12.8" hidden="false" customHeight="false" outlineLevel="0" collapsed="false">
      <c r="A2636" s="8" t="str">
        <f aca="false">HYPERLINK("https://www.fabsurplus.com/sdi_catalog/salesItemDetails.do?id=100698")</f>
        <v>https://www.fabsurplus.com/sdi_catalog/salesItemDetails.do?id=100698</v>
      </c>
      <c r="B2636" s="8" t="s">
        <v>5972</v>
      </c>
      <c r="C2636" s="8" t="s">
        <v>5973</v>
      </c>
      <c r="D2636" s="8" t="s">
        <v>5974</v>
      </c>
      <c r="E2636" s="8" t="s">
        <v>1506</v>
      </c>
      <c r="F2636" s="8" t="s">
        <v>16</v>
      </c>
      <c r="G2636" s="8" t="s">
        <v>372</v>
      </c>
      <c r="H2636" s="8"/>
      <c r="I2636" s="9" t="n">
        <v>39234</v>
      </c>
      <c r="J2636" s="8" t="s">
        <v>19</v>
      </c>
      <c r="K2636" s="8"/>
    </row>
    <row r="2637" customFormat="false" ht="12.8" hidden="false" customHeight="false" outlineLevel="0" collapsed="false">
      <c r="A2637" s="6" t="str">
        <f aca="false">HYPERLINK("https://www.fabsurplus.com/sdi_catalog/salesItemDetails.do?id=99052")</f>
        <v>https://www.fabsurplus.com/sdi_catalog/salesItemDetails.do?id=99052</v>
      </c>
      <c r="B2637" s="6" t="s">
        <v>5975</v>
      </c>
      <c r="C2637" s="6" t="s">
        <v>5973</v>
      </c>
      <c r="D2637" s="6" t="s">
        <v>5976</v>
      </c>
      <c r="E2637" s="6" t="s">
        <v>2292</v>
      </c>
      <c r="F2637" s="6" t="s">
        <v>16</v>
      </c>
      <c r="G2637" s="6" t="s">
        <v>310</v>
      </c>
      <c r="H2637" s="6"/>
      <c r="I2637" s="7" t="n">
        <v>39295</v>
      </c>
      <c r="J2637" s="6" t="s">
        <v>19</v>
      </c>
      <c r="K2637" s="6"/>
    </row>
    <row r="2638" customFormat="false" ht="12.8" hidden="false" customHeight="false" outlineLevel="0" collapsed="false">
      <c r="A2638" s="6" t="str">
        <f aca="false">HYPERLINK("https://www.fabsurplus.com/sdi_catalog/salesItemDetails.do?id=99051")</f>
        <v>https://www.fabsurplus.com/sdi_catalog/salesItemDetails.do?id=99051</v>
      </c>
      <c r="B2638" s="6" t="s">
        <v>5977</v>
      </c>
      <c r="C2638" s="6" t="s">
        <v>5973</v>
      </c>
      <c r="D2638" s="6" t="s">
        <v>5976</v>
      </c>
      <c r="E2638" s="6" t="s">
        <v>2292</v>
      </c>
      <c r="F2638" s="6" t="s">
        <v>16</v>
      </c>
      <c r="G2638" s="6" t="s">
        <v>310</v>
      </c>
      <c r="H2638" s="6"/>
      <c r="I2638" s="7" t="n">
        <v>39114</v>
      </c>
      <c r="J2638" s="6" t="s">
        <v>19</v>
      </c>
      <c r="K2638" s="6"/>
    </row>
    <row r="2639" customFormat="false" ht="12.8" hidden="false" customHeight="false" outlineLevel="0" collapsed="false">
      <c r="A2639" s="6" t="str">
        <f aca="false">HYPERLINK("https://www.fabsurplus.com/sdi_catalog/salesItemDetails.do?id=99050")</f>
        <v>https://www.fabsurplus.com/sdi_catalog/salesItemDetails.do?id=99050</v>
      </c>
      <c r="B2639" s="6" t="s">
        <v>5978</v>
      </c>
      <c r="C2639" s="6" t="s">
        <v>5973</v>
      </c>
      <c r="D2639" s="6" t="s">
        <v>5976</v>
      </c>
      <c r="E2639" s="6" t="s">
        <v>2292</v>
      </c>
      <c r="F2639" s="6" t="s">
        <v>16</v>
      </c>
      <c r="G2639" s="6" t="s">
        <v>310</v>
      </c>
      <c r="H2639" s="6"/>
      <c r="I2639" s="7" t="n">
        <v>38565</v>
      </c>
      <c r="J2639" s="6" t="s">
        <v>19</v>
      </c>
      <c r="K2639" s="6"/>
    </row>
    <row r="2640" customFormat="false" ht="12.8" hidden="false" customHeight="false" outlineLevel="0" collapsed="false">
      <c r="A2640" s="6" t="str">
        <f aca="false">HYPERLINK("https://www.fabsurplus.com/sdi_catalog/salesItemDetails.do?id=98018")</f>
        <v>https://www.fabsurplus.com/sdi_catalog/salesItemDetails.do?id=98018</v>
      </c>
      <c r="B2640" s="6" t="s">
        <v>5979</v>
      </c>
      <c r="C2640" s="6" t="s">
        <v>5961</v>
      </c>
      <c r="D2640" s="6" t="s">
        <v>5980</v>
      </c>
      <c r="E2640" s="6" t="s">
        <v>5981</v>
      </c>
      <c r="F2640" s="6" t="s">
        <v>16</v>
      </c>
      <c r="G2640" s="6" t="s">
        <v>32</v>
      </c>
      <c r="H2640" s="6"/>
      <c r="I2640" s="7" t="n">
        <v>41426</v>
      </c>
      <c r="J2640" s="6" t="s">
        <v>19</v>
      </c>
      <c r="K2640" s="6"/>
    </row>
    <row r="2641" customFormat="false" ht="12.8" hidden="false" customHeight="false" outlineLevel="0" collapsed="false">
      <c r="A2641" s="8" t="str">
        <f aca="false">HYPERLINK("https://www.fabsurplus.com/sdi_catalog/salesItemDetails.do?id=98049")</f>
        <v>https://www.fabsurplus.com/sdi_catalog/salesItemDetails.do?id=98049</v>
      </c>
      <c r="B2641" s="8" t="s">
        <v>5982</v>
      </c>
      <c r="C2641" s="8" t="s">
        <v>5983</v>
      </c>
      <c r="D2641" s="8" t="s">
        <v>5984</v>
      </c>
      <c r="E2641" s="8" t="s">
        <v>5985</v>
      </c>
      <c r="F2641" s="8" t="s">
        <v>16</v>
      </c>
      <c r="G2641" s="8" t="s">
        <v>32</v>
      </c>
      <c r="H2641" s="8"/>
      <c r="I2641" s="8"/>
      <c r="J2641" s="8" t="s">
        <v>19</v>
      </c>
      <c r="K2641" s="8"/>
    </row>
    <row r="2642" customFormat="false" ht="12.8" hidden="false" customHeight="false" outlineLevel="0" collapsed="false">
      <c r="A2642" s="6" t="str">
        <f aca="false">HYPERLINK("https://www.fabsurplus.com/sdi_catalog/salesItemDetails.do?id=98048")</f>
        <v>https://www.fabsurplus.com/sdi_catalog/salesItemDetails.do?id=98048</v>
      </c>
      <c r="B2642" s="6" t="s">
        <v>5986</v>
      </c>
      <c r="C2642" s="6" t="s">
        <v>5983</v>
      </c>
      <c r="D2642" s="6" t="s">
        <v>5984</v>
      </c>
      <c r="E2642" s="6" t="s">
        <v>5985</v>
      </c>
      <c r="F2642" s="6" t="s">
        <v>16</v>
      </c>
      <c r="G2642" s="6" t="s">
        <v>372</v>
      </c>
      <c r="H2642" s="6"/>
      <c r="I2642" s="6"/>
      <c r="J2642" s="6" t="s">
        <v>19</v>
      </c>
      <c r="K2642" s="6"/>
    </row>
    <row r="2643" customFormat="false" ht="12.8" hidden="false" customHeight="false" outlineLevel="0" collapsed="false">
      <c r="A2643" s="8" t="str">
        <f aca="false">HYPERLINK("https://www.fabsurplus.com/sdi_catalog/salesItemDetails.do?id=100686")</f>
        <v>https://www.fabsurplus.com/sdi_catalog/salesItemDetails.do?id=100686</v>
      </c>
      <c r="B2643" s="8" t="s">
        <v>5987</v>
      </c>
      <c r="C2643" s="8" t="s">
        <v>5988</v>
      </c>
      <c r="D2643" s="8" t="s">
        <v>5989</v>
      </c>
      <c r="E2643" s="8" t="s">
        <v>5990</v>
      </c>
      <c r="F2643" s="8" t="s">
        <v>16</v>
      </c>
      <c r="G2643" s="8" t="s">
        <v>1851</v>
      </c>
      <c r="H2643" s="8"/>
      <c r="I2643" s="8"/>
      <c r="J2643" s="8" t="s">
        <v>19</v>
      </c>
      <c r="K2643" s="8"/>
    </row>
    <row r="2644" customFormat="false" ht="12.8" hidden="false" customHeight="false" outlineLevel="0" collapsed="false">
      <c r="A2644" s="8" t="str">
        <f aca="false">HYPERLINK("https://www.fabsurplus.com/sdi_catalog/salesItemDetails.do?id=98532")</f>
        <v>https://www.fabsurplus.com/sdi_catalog/salesItemDetails.do?id=98532</v>
      </c>
      <c r="B2644" s="8" t="s">
        <v>5991</v>
      </c>
      <c r="C2644" s="8" t="s">
        <v>5992</v>
      </c>
      <c r="D2644" s="8" t="s">
        <v>5993</v>
      </c>
      <c r="E2644" s="8" t="s">
        <v>5994</v>
      </c>
      <c r="F2644" s="8" t="s">
        <v>16</v>
      </c>
      <c r="G2644" s="8" t="s">
        <v>328</v>
      </c>
      <c r="H2644" s="8"/>
      <c r="I2644" s="8"/>
      <c r="J2644" s="8" t="s">
        <v>19</v>
      </c>
      <c r="K2644" s="8"/>
    </row>
    <row r="2645" customFormat="false" ht="12.8" hidden="false" customHeight="false" outlineLevel="0" collapsed="false">
      <c r="A2645" s="8" t="str">
        <f aca="false">HYPERLINK("https://www.fabsurplus.com/sdi_catalog/salesItemDetails.do?id=98793")</f>
        <v>https://www.fabsurplus.com/sdi_catalog/salesItemDetails.do?id=98793</v>
      </c>
      <c r="B2645" s="8" t="s">
        <v>5995</v>
      </c>
      <c r="C2645" s="8" t="s">
        <v>5996</v>
      </c>
      <c r="D2645" s="8" t="s">
        <v>5997</v>
      </c>
      <c r="E2645" s="8" t="s">
        <v>2923</v>
      </c>
      <c r="F2645" s="8" t="s">
        <v>16</v>
      </c>
      <c r="G2645" s="8" t="s">
        <v>434</v>
      </c>
      <c r="H2645" s="8"/>
      <c r="I2645" s="9" t="n">
        <v>40817</v>
      </c>
      <c r="J2645" s="8" t="s">
        <v>19</v>
      </c>
      <c r="K2645" s="8"/>
    </row>
    <row r="2646" customFormat="false" ht="12.8" hidden="false" customHeight="false" outlineLevel="0" collapsed="false">
      <c r="A2646" s="6" t="str">
        <f aca="false">HYPERLINK("https://www.fabsurplus.com/sdi_catalog/salesItemDetails.do?id=99373")</f>
        <v>https://www.fabsurplus.com/sdi_catalog/salesItemDetails.do?id=99373</v>
      </c>
      <c r="B2646" s="6" t="s">
        <v>5998</v>
      </c>
      <c r="C2646" s="6" t="s">
        <v>5999</v>
      </c>
      <c r="D2646" s="6" t="s">
        <v>6000</v>
      </c>
      <c r="E2646" s="6" t="s">
        <v>6001</v>
      </c>
      <c r="F2646" s="6" t="s">
        <v>16</v>
      </c>
      <c r="G2646" s="6"/>
      <c r="H2646" s="6"/>
      <c r="I2646" s="7" t="n">
        <v>43252</v>
      </c>
      <c r="J2646" s="6" t="s">
        <v>19</v>
      </c>
      <c r="K2646" s="6"/>
    </row>
    <row r="2647" customFormat="false" ht="12.8" hidden="false" customHeight="false" outlineLevel="0" collapsed="false">
      <c r="A2647" s="6" t="str">
        <f aca="false">HYPERLINK("https://www.fabsurplus.com/sdi_catalog/salesItemDetails.do?id=99404")</f>
        <v>https://www.fabsurplus.com/sdi_catalog/salesItemDetails.do?id=99404</v>
      </c>
      <c r="B2647" s="6" t="s">
        <v>6002</v>
      </c>
      <c r="C2647" s="6" t="s">
        <v>596</v>
      </c>
      <c r="D2647" s="6" t="s">
        <v>6003</v>
      </c>
      <c r="E2647" s="6" t="s">
        <v>6004</v>
      </c>
      <c r="F2647" s="6" t="s">
        <v>16</v>
      </c>
      <c r="G2647" s="6"/>
      <c r="H2647" s="6" t="s">
        <v>18</v>
      </c>
      <c r="I2647" s="6"/>
      <c r="J2647" s="6" t="s">
        <v>19</v>
      </c>
      <c r="K2647" s="6" t="s">
        <v>20</v>
      </c>
    </row>
    <row r="2648" customFormat="false" ht="12.8" hidden="false" customHeight="false" outlineLevel="0" collapsed="false">
      <c r="A2648" s="8" t="str">
        <f aca="false">HYPERLINK("https://www.fabsurplus.com/sdi_catalog/salesItemDetails.do?id=99875")</f>
        <v>https://www.fabsurplus.com/sdi_catalog/salesItemDetails.do?id=99875</v>
      </c>
      <c r="B2648" s="8" t="s">
        <v>6005</v>
      </c>
      <c r="C2648" s="8" t="s">
        <v>596</v>
      </c>
      <c r="D2648" s="8" t="s">
        <v>6006</v>
      </c>
      <c r="E2648" s="8" t="s">
        <v>6007</v>
      </c>
      <c r="F2648" s="8" t="s">
        <v>16</v>
      </c>
      <c r="G2648" s="8" t="s">
        <v>372</v>
      </c>
      <c r="H2648" s="8" t="s">
        <v>33</v>
      </c>
      <c r="I2648" s="9" t="n">
        <v>37073</v>
      </c>
      <c r="J2648" s="8" t="s">
        <v>19</v>
      </c>
      <c r="K2648" s="8" t="s">
        <v>20</v>
      </c>
    </row>
    <row r="2649" customFormat="false" ht="12.8" hidden="false" customHeight="false" outlineLevel="0" collapsed="false">
      <c r="A2649" s="6" t="str">
        <f aca="false">HYPERLINK("https://www.fabsurplus.com/sdi_catalog/salesItemDetails.do?id=99960")</f>
        <v>https://www.fabsurplus.com/sdi_catalog/salesItemDetails.do?id=99960</v>
      </c>
      <c r="B2649" s="6" t="s">
        <v>6008</v>
      </c>
      <c r="C2649" s="6" t="s">
        <v>596</v>
      </c>
      <c r="D2649" s="6" t="s">
        <v>6009</v>
      </c>
      <c r="E2649" s="6" t="s">
        <v>2061</v>
      </c>
      <c r="F2649" s="6" t="s">
        <v>16</v>
      </c>
      <c r="G2649" s="6" t="s">
        <v>372</v>
      </c>
      <c r="H2649" s="6" t="s">
        <v>18</v>
      </c>
      <c r="I2649" s="6"/>
      <c r="J2649" s="6" t="s">
        <v>19</v>
      </c>
      <c r="K2649" s="6" t="s">
        <v>20</v>
      </c>
    </row>
    <row r="2650" customFormat="false" ht="12.8" hidden="false" customHeight="false" outlineLevel="0" collapsed="false">
      <c r="A2650" s="8" t="str">
        <f aca="false">HYPERLINK("https://www.fabsurplus.com/sdi_catalog/salesItemDetails.do?id=100335")</f>
        <v>https://www.fabsurplus.com/sdi_catalog/salesItemDetails.do?id=100335</v>
      </c>
      <c r="B2650" s="8" t="s">
        <v>6010</v>
      </c>
      <c r="C2650" s="8" t="s">
        <v>596</v>
      </c>
      <c r="D2650" s="8" t="s">
        <v>6011</v>
      </c>
      <c r="E2650" s="8" t="s">
        <v>2028</v>
      </c>
      <c r="F2650" s="8" t="s">
        <v>16</v>
      </c>
      <c r="G2650" s="8" t="s">
        <v>686</v>
      </c>
      <c r="H2650" s="8"/>
      <c r="I2650" s="9" t="n">
        <v>41791</v>
      </c>
      <c r="J2650" s="8" t="s">
        <v>19</v>
      </c>
      <c r="K2650" s="8"/>
    </row>
    <row r="2651" customFormat="false" ht="12.8" hidden="false" customHeight="false" outlineLevel="0" collapsed="false">
      <c r="A2651" s="8" t="str">
        <f aca="false">HYPERLINK("https://www.fabsurplus.com/sdi_catalog/salesItemDetails.do?id=97838")</f>
        <v>https://www.fabsurplus.com/sdi_catalog/salesItemDetails.do?id=97838</v>
      </c>
      <c r="B2651" s="8" t="s">
        <v>6012</v>
      </c>
      <c r="C2651" s="8" t="s">
        <v>596</v>
      </c>
      <c r="D2651" s="8" t="s">
        <v>6013</v>
      </c>
      <c r="E2651" s="8" t="s">
        <v>6014</v>
      </c>
      <c r="F2651" s="8" t="s">
        <v>16</v>
      </c>
      <c r="G2651" s="8" t="s">
        <v>310</v>
      </c>
      <c r="H2651" s="8"/>
      <c r="I2651" s="9" t="n">
        <v>38504</v>
      </c>
      <c r="J2651" s="8" t="s">
        <v>19</v>
      </c>
      <c r="K2651" s="8"/>
    </row>
    <row r="2652" customFormat="false" ht="12.8" hidden="false" customHeight="false" outlineLevel="0" collapsed="false">
      <c r="A2652" s="8" t="str">
        <f aca="false">HYPERLINK("https://www.fabsurplus.com/sdi_catalog/salesItemDetails.do?id=99275")</f>
        <v>https://www.fabsurplus.com/sdi_catalog/salesItemDetails.do?id=99275</v>
      </c>
      <c r="B2652" s="8" t="s">
        <v>6015</v>
      </c>
      <c r="C2652" s="8" t="s">
        <v>6016</v>
      </c>
      <c r="D2652" s="8" t="s">
        <v>6017</v>
      </c>
      <c r="E2652" s="8" t="s">
        <v>6018</v>
      </c>
      <c r="F2652" s="8" t="s">
        <v>16</v>
      </c>
      <c r="G2652" s="8" t="s">
        <v>372</v>
      </c>
      <c r="H2652" s="8" t="s">
        <v>18</v>
      </c>
      <c r="I2652" s="9" t="n">
        <v>35947</v>
      </c>
      <c r="J2652" s="8" t="s">
        <v>19</v>
      </c>
      <c r="K2652" s="8" t="s">
        <v>20</v>
      </c>
    </row>
    <row r="2653" customFormat="false" ht="12.8" hidden="false" customHeight="false" outlineLevel="0" collapsed="false">
      <c r="A2653" s="8" t="str">
        <f aca="false">HYPERLINK("https://www.fabsurplus.com/sdi_catalog/salesItemDetails.do?id=98441")</f>
        <v>https://www.fabsurplus.com/sdi_catalog/salesItemDetails.do?id=98441</v>
      </c>
      <c r="B2653" s="8" t="s">
        <v>6019</v>
      </c>
      <c r="C2653" s="8" t="s">
        <v>6020</v>
      </c>
      <c r="D2653" s="8" t="s">
        <v>6021</v>
      </c>
      <c r="E2653" s="8" t="s">
        <v>6022</v>
      </c>
      <c r="F2653" s="8" t="s">
        <v>16</v>
      </c>
      <c r="G2653" s="8" t="s">
        <v>372</v>
      </c>
      <c r="H2653" s="8"/>
      <c r="I2653" s="8"/>
      <c r="J2653" s="8" t="s">
        <v>19</v>
      </c>
      <c r="K2653" s="8"/>
    </row>
    <row r="2654" customFormat="false" ht="12.8" hidden="false" customHeight="false" outlineLevel="0" collapsed="false">
      <c r="A2654" s="8" t="str">
        <f aca="false">HYPERLINK("https://www.fabsurplus.com/sdi_catalog/salesItemDetails.do?id=100756")</f>
        <v>https://www.fabsurplus.com/sdi_catalog/salesItemDetails.do?id=100756</v>
      </c>
      <c r="B2654" s="8" t="s">
        <v>6023</v>
      </c>
      <c r="C2654" s="8" t="s">
        <v>6020</v>
      </c>
      <c r="D2654" s="8" t="s">
        <v>6024</v>
      </c>
      <c r="E2654" s="8" t="s">
        <v>6025</v>
      </c>
      <c r="F2654" s="8" t="s">
        <v>16</v>
      </c>
      <c r="G2654" s="8"/>
      <c r="H2654" s="8"/>
      <c r="I2654" s="8"/>
      <c r="J2654" s="8" t="s">
        <v>19</v>
      </c>
      <c r="K2654" s="8"/>
    </row>
    <row r="2655" customFormat="false" ht="12.8" hidden="false" customHeight="false" outlineLevel="0" collapsed="false">
      <c r="A2655" s="6" t="str">
        <f aca="false">HYPERLINK("https://www.fabsurplus.com/sdi_catalog/salesItemDetails.do?id=100336")</f>
        <v>https://www.fabsurplus.com/sdi_catalog/salesItemDetails.do?id=100336</v>
      </c>
      <c r="B2655" s="6" t="s">
        <v>6026</v>
      </c>
      <c r="C2655" s="6" t="s">
        <v>6020</v>
      </c>
      <c r="D2655" s="6" t="s">
        <v>6027</v>
      </c>
      <c r="E2655" s="6" t="s">
        <v>6028</v>
      </c>
      <c r="F2655" s="6" t="s">
        <v>16</v>
      </c>
      <c r="G2655" s="6" t="s">
        <v>686</v>
      </c>
      <c r="H2655" s="6"/>
      <c r="I2655" s="6"/>
      <c r="J2655" s="6" t="s">
        <v>19</v>
      </c>
      <c r="K2655" s="6"/>
    </row>
    <row r="2656" customFormat="false" ht="12.8" hidden="false" customHeight="false" outlineLevel="0" collapsed="false">
      <c r="A2656" s="8" t="str">
        <f aca="false">HYPERLINK("https://www.fabsurplus.com/sdi_catalog/salesItemDetails.do?id=97840")</f>
        <v>https://www.fabsurplus.com/sdi_catalog/salesItemDetails.do?id=97840</v>
      </c>
      <c r="B2656" s="8" t="s">
        <v>6029</v>
      </c>
      <c r="C2656" s="8" t="s">
        <v>6020</v>
      </c>
      <c r="D2656" s="8" t="s">
        <v>6030</v>
      </c>
      <c r="E2656" s="8" t="s">
        <v>6031</v>
      </c>
      <c r="F2656" s="8" t="s">
        <v>16</v>
      </c>
      <c r="G2656" s="8" t="s">
        <v>310</v>
      </c>
      <c r="H2656" s="8"/>
      <c r="I2656" s="8"/>
      <c r="J2656" s="8" t="s">
        <v>19</v>
      </c>
      <c r="K2656" s="8"/>
    </row>
    <row r="2657" customFormat="false" ht="12.8" hidden="false" customHeight="false" outlineLevel="0" collapsed="false">
      <c r="A2657" s="8" t="str">
        <f aca="false">HYPERLINK("https://www.fabsurplus.com/sdi_catalog/salesItemDetails.do?id=97839")</f>
        <v>https://www.fabsurplus.com/sdi_catalog/salesItemDetails.do?id=97839</v>
      </c>
      <c r="B2657" s="8" t="s">
        <v>6032</v>
      </c>
      <c r="C2657" s="8" t="s">
        <v>6020</v>
      </c>
      <c r="D2657" s="8" t="s">
        <v>6030</v>
      </c>
      <c r="E2657" s="8" t="s">
        <v>6031</v>
      </c>
      <c r="F2657" s="8" t="s">
        <v>16</v>
      </c>
      <c r="G2657" s="8" t="s">
        <v>310</v>
      </c>
      <c r="H2657" s="8"/>
      <c r="I2657" s="8"/>
      <c r="J2657" s="8" t="s">
        <v>19</v>
      </c>
      <c r="K2657" s="8"/>
    </row>
    <row r="2658" customFormat="false" ht="12.8" hidden="false" customHeight="false" outlineLevel="0" collapsed="false">
      <c r="A2658" s="6" t="str">
        <f aca="false">HYPERLINK("https://www.fabsurplus.com/sdi_catalog/salesItemDetails.do?id=98373")</f>
        <v>https://www.fabsurplus.com/sdi_catalog/salesItemDetails.do?id=98373</v>
      </c>
      <c r="B2658" s="6" t="s">
        <v>6033</v>
      </c>
      <c r="C2658" s="6" t="s">
        <v>6034</v>
      </c>
      <c r="D2658" s="6" t="s">
        <v>6035</v>
      </c>
      <c r="E2658" s="6" t="s">
        <v>3479</v>
      </c>
      <c r="F2658" s="6" t="s">
        <v>16</v>
      </c>
      <c r="G2658" s="6" t="s">
        <v>32</v>
      </c>
      <c r="H2658" s="6"/>
      <c r="I2658" s="7" t="n">
        <v>37408</v>
      </c>
      <c r="J2658" s="6" t="s">
        <v>81</v>
      </c>
      <c r="K2658" s="6"/>
    </row>
    <row r="2659" customFormat="false" ht="12.8" hidden="false" customHeight="false" outlineLevel="0" collapsed="false">
      <c r="A2659" s="6" t="str">
        <f aca="false">HYPERLINK("https://www.fabsurplus.com/sdi_catalog/salesItemDetails.do?id=98863")</f>
        <v>https://www.fabsurplus.com/sdi_catalog/salesItemDetails.do?id=98863</v>
      </c>
      <c r="B2659" s="6" t="s">
        <v>6036</v>
      </c>
      <c r="C2659" s="6" t="s">
        <v>6020</v>
      </c>
      <c r="D2659" s="6" t="s">
        <v>6037</v>
      </c>
      <c r="E2659" s="6" t="s">
        <v>6038</v>
      </c>
      <c r="F2659" s="6" t="s">
        <v>16</v>
      </c>
      <c r="G2659" s="6"/>
      <c r="H2659" s="6" t="s">
        <v>33</v>
      </c>
      <c r="I2659" s="6"/>
      <c r="J2659" s="6" t="s">
        <v>19</v>
      </c>
      <c r="K2659" s="6" t="s">
        <v>20</v>
      </c>
    </row>
    <row r="2660" customFormat="false" ht="12.8" hidden="false" customHeight="false" outlineLevel="0" collapsed="false">
      <c r="A2660" s="8" t="str">
        <f aca="false">HYPERLINK("https://www.fabsurplus.com/sdi_catalog/salesItemDetails.do?id=98204")</f>
        <v>https://www.fabsurplus.com/sdi_catalog/salesItemDetails.do?id=98204</v>
      </c>
      <c r="B2660" s="8" t="s">
        <v>6039</v>
      </c>
      <c r="C2660" s="8" t="s">
        <v>6040</v>
      </c>
      <c r="D2660" s="8" t="s">
        <v>6041</v>
      </c>
      <c r="E2660" s="8" t="s">
        <v>752</v>
      </c>
      <c r="F2660" s="8" t="s">
        <v>16</v>
      </c>
      <c r="G2660" s="8" t="s">
        <v>38</v>
      </c>
      <c r="H2660" s="8"/>
      <c r="I2660" s="9" t="n">
        <v>37043</v>
      </c>
      <c r="J2660" s="8" t="s">
        <v>19</v>
      </c>
      <c r="K2660" s="8"/>
    </row>
    <row r="2661" customFormat="false" ht="12.8" hidden="false" customHeight="false" outlineLevel="0" collapsed="false">
      <c r="A2661" s="8" t="str">
        <f aca="false">HYPERLINK("https://www.fabsurplus.com/sdi_catalog/salesItemDetails.do?id=99390")</f>
        <v>https://www.fabsurplus.com/sdi_catalog/salesItemDetails.do?id=99390</v>
      </c>
      <c r="B2661" s="8" t="s">
        <v>6042</v>
      </c>
      <c r="C2661" s="8" t="s">
        <v>6043</v>
      </c>
      <c r="D2661" s="8" t="s">
        <v>6044</v>
      </c>
      <c r="E2661" s="8" t="s">
        <v>765</v>
      </c>
      <c r="F2661" s="8" t="s">
        <v>16</v>
      </c>
      <c r="G2661" s="8" t="s">
        <v>38</v>
      </c>
      <c r="H2661" s="8"/>
      <c r="I2661" s="8"/>
      <c r="J2661" s="8" t="s">
        <v>19</v>
      </c>
      <c r="K2661" s="8"/>
    </row>
    <row r="2662" customFormat="false" ht="12.8" hidden="false" customHeight="false" outlineLevel="0" collapsed="false">
      <c r="A2662" s="8" t="str">
        <f aca="false">HYPERLINK("https://www.fabsurplus.com/sdi_catalog/salesItemDetails.do?id=100340")</f>
        <v>https://www.fabsurplus.com/sdi_catalog/salesItemDetails.do?id=100340</v>
      </c>
      <c r="B2662" s="8" t="s">
        <v>6045</v>
      </c>
      <c r="C2662" s="8" t="s">
        <v>6040</v>
      </c>
      <c r="D2662" s="8" t="s">
        <v>6046</v>
      </c>
      <c r="E2662" s="8" t="s">
        <v>586</v>
      </c>
      <c r="F2662" s="8" t="s">
        <v>16</v>
      </c>
      <c r="G2662" s="8" t="s">
        <v>38</v>
      </c>
      <c r="H2662" s="8"/>
      <c r="I2662" s="9" t="n">
        <v>38139</v>
      </c>
      <c r="J2662" s="8" t="s">
        <v>19</v>
      </c>
      <c r="K2662" s="8"/>
    </row>
    <row r="2663" customFormat="false" ht="12.8" hidden="false" customHeight="false" outlineLevel="0" collapsed="false">
      <c r="A2663" s="6" t="str">
        <f aca="false">HYPERLINK("https://www.fabsurplus.com/sdi_catalog/salesItemDetails.do?id=100339")</f>
        <v>https://www.fabsurplus.com/sdi_catalog/salesItemDetails.do?id=100339</v>
      </c>
      <c r="B2663" s="6" t="s">
        <v>6047</v>
      </c>
      <c r="C2663" s="6" t="s">
        <v>6040</v>
      </c>
      <c r="D2663" s="6" t="s">
        <v>6046</v>
      </c>
      <c r="E2663" s="6" t="s">
        <v>586</v>
      </c>
      <c r="F2663" s="6" t="s">
        <v>16</v>
      </c>
      <c r="G2663" s="6" t="s">
        <v>38</v>
      </c>
      <c r="H2663" s="6"/>
      <c r="I2663" s="7" t="n">
        <v>37773</v>
      </c>
      <c r="J2663" s="6" t="s">
        <v>19</v>
      </c>
      <c r="K2663" s="6"/>
    </row>
    <row r="2664" customFormat="false" ht="12.8" hidden="false" customHeight="false" outlineLevel="0" collapsed="false">
      <c r="A2664" s="8" t="str">
        <f aca="false">HYPERLINK("https://www.fabsurplus.com/sdi_catalog/salesItemDetails.do?id=100338")</f>
        <v>https://www.fabsurplus.com/sdi_catalog/salesItemDetails.do?id=100338</v>
      </c>
      <c r="B2664" s="8" t="s">
        <v>6048</v>
      </c>
      <c r="C2664" s="8" t="s">
        <v>6040</v>
      </c>
      <c r="D2664" s="8" t="s">
        <v>6046</v>
      </c>
      <c r="E2664" s="8" t="s">
        <v>586</v>
      </c>
      <c r="F2664" s="8" t="s">
        <v>16</v>
      </c>
      <c r="G2664" s="8" t="s">
        <v>38</v>
      </c>
      <c r="H2664" s="8"/>
      <c r="I2664" s="9" t="n">
        <v>37773</v>
      </c>
      <c r="J2664" s="8" t="s">
        <v>19</v>
      </c>
      <c r="K2664" s="8"/>
    </row>
    <row r="2665" customFormat="false" ht="12.8" hidden="false" customHeight="false" outlineLevel="0" collapsed="false">
      <c r="A2665" s="6" t="str">
        <f aca="false">HYPERLINK("https://www.fabsurplus.com/sdi_catalog/salesItemDetails.do?id=100337")</f>
        <v>https://www.fabsurplus.com/sdi_catalog/salesItemDetails.do?id=100337</v>
      </c>
      <c r="B2665" s="6" t="s">
        <v>6049</v>
      </c>
      <c r="C2665" s="6" t="s">
        <v>6040</v>
      </c>
      <c r="D2665" s="6" t="s">
        <v>6046</v>
      </c>
      <c r="E2665" s="6" t="s">
        <v>586</v>
      </c>
      <c r="F2665" s="6" t="s">
        <v>16</v>
      </c>
      <c r="G2665" s="6" t="s">
        <v>38</v>
      </c>
      <c r="H2665" s="6"/>
      <c r="I2665" s="6"/>
      <c r="J2665" s="6" t="s">
        <v>19</v>
      </c>
      <c r="K2665" s="6"/>
    </row>
    <row r="2666" customFormat="false" ht="12.8" hidden="false" customHeight="false" outlineLevel="0" collapsed="false">
      <c r="A2666" s="6" t="str">
        <f aca="false">HYPERLINK("https://www.fabsurplus.com/sdi_catalog/salesItemDetails.do?id=99391")</f>
        <v>https://www.fabsurplus.com/sdi_catalog/salesItemDetails.do?id=99391</v>
      </c>
      <c r="B2666" s="6" t="s">
        <v>6050</v>
      </c>
      <c r="C2666" s="6" t="s">
        <v>6043</v>
      </c>
      <c r="D2666" s="6" t="s">
        <v>6051</v>
      </c>
      <c r="E2666" s="6" t="s">
        <v>765</v>
      </c>
      <c r="F2666" s="6" t="s">
        <v>16</v>
      </c>
      <c r="G2666" s="6" t="s">
        <v>38</v>
      </c>
      <c r="H2666" s="6"/>
      <c r="I2666" s="6"/>
      <c r="J2666" s="6" t="s">
        <v>19</v>
      </c>
      <c r="K2666" s="6"/>
    </row>
    <row r="2667" customFormat="false" ht="12.8" hidden="false" customHeight="false" outlineLevel="0" collapsed="false">
      <c r="A2667" s="6" t="str">
        <f aca="false">HYPERLINK("https://www.fabsurplus.com/sdi_catalog/salesItemDetails.do?id=99951")</f>
        <v>https://www.fabsurplus.com/sdi_catalog/salesItemDetails.do?id=99951</v>
      </c>
      <c r="B2667" s="6" t="s">
        <v>6052</v>
      </c>
      <c r="C2667" s="6" t="s">
        <v>6040</v>
      </c>
      <c r="D2667" s="6" t="s">
        <v>6053</v>
      </c>
      <c r="E2667" s="6" t="s">
        <v>752</v>
      </c>
      <c r="F2667" s="6" t="s">
        <v>16</v>
      </c>
      <c r="G2667" s="6" t="s">
        <v>43</v>
      </c>
      <c r="H2667" s="6"/>
      <c r="I2667" s="6"/>
      <c r="J2667" s="6" t="s">
        <v>19</v>
      </c>
      <c r="K2667" s="6"/>
    </row>
    <row r="2668" customFormat="false" ht="12.8" hidden="false" customHeight="false" outlineLevel="0" collapsed="false">
      <c r="A2668" s="8" t="str">
        <f aca="false">HYPERLINK("https://www.fabsurplus.com/sdi_catalog/salesItemDetails.do?id=97984")</f>
        <v>https://www.fabsurplus.com/sdi_catalog/salesItemDetails.do?id=97984</v>
      </c>
      <c r="B2668" s="8" t="s">
        <v>6054</v>
      </c>
      <c r="C2668" s="8" t="s">
        <v>6055</v>
      </c>
      <c r="D2668" s="8" t="s">
        <v>6056</v>
      </c>
      <c r="E2668" s="8" t="s">
        <v>6057</v>
      </c>
      <c r="F2668" s="8" t="s">
        <v>611</v>
      </c>
      <c r="G2668" s="8"/>
      <c r="H2668" s="8"/>
      <c r="I2668" s="8"/>
      <c r="J2668" s="8" t="s">
        <v>81</v>
      </c>
      <c r="K2668" s="8"/>
    </row>
    <row r="2669" customFormat="false" ht="12.8" hidden="false" customHeight="false" outlineLevel="0" collapsed="false">
      <c r="A2669" s="6" t="str">
        <f aca="false">HYPERLINK("https://www.fabsurplus.com/sdi_catalog/salesItemDetails.do?id=97902")</f>
        <v>https://www.fabsurplus.com/sdi_catalog/salesItemDetails.do?id=97902</v>
      </c>
      <c r="B2669" s="6" t="s">
        <v>6058</v>
      </c>
      <c r="C2669" s="6" t="s">
        <v>6059</v>
      </c>
      <c r="D2669" s="6" t="s">
        <v>6060</v>
      </c>
      <c r="E2669" s="6" t="s">
        <v>6061</v>
      </c>
      <c r="F2669" s="6" t="s">
        <v>16</v>
      </c>
      <c r="G2669" s="6"/>
      <c r="H2669" s="6"/>
      <c r="I2669" s="6"/>
      <c r="J2669" s="6" t="s">
        <v>19</v>
      </c>
      <c r="K2669" s="6"/>
    </row>
    <row r="2670" customFormat="false" ht="12.8" hidden="false" customHeight="false" outlineLevel="0" collapsed="false">
      <c r="A2670" s="8" t="str">
        <f aca="false">HYPERLINK("https://www.fabsurplus.com/sdi_catalog/salesItemDetails.do?id=97985")</f>
        <v>https://www.fabsurplus.com/sdi_catalog/salesItemDetails.do?id=97985</v>
      </c>
      <c r="B2670" s="8" t="s">
        <v>6062</v>
      </c>
      <c r="C2670" s="8" t="s">
        <v>6063</v>
      </c>
      <c r="D2670" s="8" t="s">
        <v>6064</v>
      </c>
      <c r="E2670" s="8" t="s">
        <v>4130</v>
      </c>
      <c r="F2670" s="8" t="s">
        <v>16</v>
      </c>
      <c r="G2670" s="8" t="s">
        <v>1851</v>
      </c>
      <c r="H2670" s="8"/>
      <c r="I2670" s="8"/>
      <c r="J2670" s="8" t="s">
        <v>81</v>
      </c>
      <c r="K2670" s="8"/>
    </row>
    <row r="2671" customFormat="false" ht="12.8" hidden="false" customHeight="false" outlineLevel="0" collapsed="false">
      <c r="A2671" s="8" t="str">
        <f aca="false">HYPERLINK("https://www.fabsurplus.com/sdi_catalog/salesItemDetails.do?id=100051")</f>
        <v>https://www.fabsurplus.com/sdi_catalog/salesItemDetails.do?id=100051</v>
      </c>
      <c r="B2671" s="8" t="s">
        <v>6065</v>
      </c>
      <c r="C2671" s="8" t="s">
        <v>6066</v>
      </c>
      <c r="D2671" s="8" t="s">
        <v>6067</v>
      </c>
      <c r="E2671" s="8" t="s">
        <v>2139</v>
      </c>
      <c r="F2671" s="8" t="s">
        <v>16</v>
      </c>
      <c r="G2671" s="8" t="s">
        <v>1851</v>
      </c>
      <c r="H2671" s="8"/>
      <c r="I2671" s="8"/>
      <c r="J2671" s="8" t="s">
        <v>19</v>
      </c>
      <c r="K2671" s="8"/>
    </row>
    <row r="2672" customFormat="false" ht="12.8" hidden="false" customHeight="false" outlineLevel="0" collapsed="false">
      <c r="A2672" s="6" t="str">
        <f aca="false">HYPERLINK("https://www.fabsurplus.com/sdi_catalog/salesItemDetails.do?id=100050")</f>
        <v>https://www.fabsurplus.com/sdi_catalog/salesItemDetails.do?id=100050</v>
      </c>
      <c r="B2672" s="6" t="s">
        <v>6068</v>
      </c>
      <c r="C2672" s="6" t="s">
        <v>6066</v>
      </c>
      <c r="D2672" s="6" t="s">
        <v>6067</v>
      </c>
      <c r="E2672" s="6" t="s">
        <v>2139</v>
      </c>
      <c r="F2672" s="6" t="s">
        <v>16</v>
      </c>
      <c r="G2672" s="6" t="s">
        <v>1851</v>
      </c>
      <c r="H2672" s="6"/>
      <c r="I2672" s="6"/>
      <c r="J2672" s="6" t="s">
        <v>19</v>
      </c>
      <c r="K2672" s="6"/>
    </row>
    <row r="2673" customFormat="false" ht="12.8" hidden="false" customHeight="false" outlineLevel="0" collapsed="false">
      <c r="A2673" s="6" t="str">
        <f aca="false">HYPERLINK("https://www.fabsurplus.com/sdi_catalog/salesItemDetails.do?id=98050")</f>
        <v>https://www.fabsurplus.com/sdi_catalog/salesItemDetails.do?id=98050</v>
      </c>
      <c r="B2673" s="6" t="s">
        <v>6069</v>
      </c>
      <c r="C2673" s="6" t="s">
        <v>6070</v>
      </c>
      <c r="D2673" s="6" t="s">
        <v>6071</v>
      </c>
      <c r="E2673" s="6" t="s">
        <v>2434</v>
      </c>
      <c r="F2673" s="6" t="s">
        <v>16</v>
      </c>
      <c r="G2673" s="6" t="s">
        <v>32</v>
      </c>
      <c r="H2673" s="6"/>
      <c r="I2673" s="7" t="n">
        <v>38504</v>
      </c>
      <c r="J2673" s="6" t="s">
        <v>19</v>
      </c>
      <c r="K2673" s="6"/>
    </row>
    <row r="2674" customFormat="false" ht="12.8" hidden="false" customHeight="false" outlineLevel="0" collapsed="false">
      <c r="A2674" s="8" t="str">
        <f aca="false">HYPERLINK("https://www.fabsurplus.com/sdi_catalog/salesItemDetails.do?id=100719")</f>
        <v>https://www.fabsurplus.com/sdi_catalog/salesItemDetails.do?id=100719</v>
      </c>
      <c r="B2674" s="8" t="s">
        <v>6072</v>
      </c>
      <c r="C2674" s="8" t="s">
        <v>6070</v>
      </c>
      <c r="D2674" s="8" t="s">
        <v>6073</v>
      </c>
      <c r="E2674" s="8" t="s">
        <v>4130</v>
      </c>
      <c r="F2674" s="8" t="s">
        <v>16</v>
      </c>
      <c r="G2674" s="8" t="s">
        <v>328</v>
      </c>
      <c r="H2674" s="8" t="s">
        <v>18</v>
      </c>
      <c r="I2674" s="8"/>
      <c r="J2674" s="8" t="s">
        <v>19</v>
      </c>
      <c r="K2674" s="8"/>
    </row>
    <row r="2675" customFormat="false" ht="12.8" hidden="false" customHeight="false" outlineLevel="0" collapsed="false">
      <c r="A2675" s="6" t="str">
        <f aca="false">HYPERLINK("https://www.fabsurplus.com/sdi_catalog/salesItemDetails.do?id=98052")</f>
        <v>https://www.fabsurplus.com/sdi_catalog/salesItemDetails.do?id=98052</v>
      </c>
      <c r="B2675" s="6" t="s">
        <v>6074</v>
      </c>
      <c r="C2675" s="6" t="s">
        <v>6070</v>
      </c>
      <c r="D2675" s="6" t="s">
        <v>6075</v>
      </c>
      <c r="E2675" s="6" t="s">
        <v>2434</v>
      </c>
      <c r="F2675" s="6" t="s">
        <v>16</v>
      </c>
      <c r="G2675" s="6" t="s">
        <v>32</v>
      </c>
      <c r="H2675" s="6"/>
      <c r="I2675" s="7" t="n">
        <v>39234</v>
      </c>
      <c r="J2675" s="6" t="s">
        <v>19</v>
      </c>
      <c r="K2675" s="6"/>
    </row>
    <row r="2676" customFormat="false" ht="12.8" hidden="false" customHeight="false" outlineLevel="0" collapsed="false">
      <c r="A2676" s="8" t="str">
        <f aca="false">HYPERLINK("https://www.fabsurplus.com/sdi_catalog/salesItemDetails.do?id=98051")</f>
        <v>https://www.fabsurplus.com/sdi_catalog/salesItemDetails.do?id=98051</v>
      </c>
      <c r="B2676" s="8" t="s">
        <v>6076</v>
      </c>
      <c r="C2676" s="8" t="s">
        <v>6070</v>
      </c>
      <c r="D2676" s="8" t="s">
        <v>6075</v>
      </c>
      <c r="E2676" s="8" t="s">
        <v>2434</v>
      </c>
      <c r="F2676" s="8" t="s">
        <v>16</v>
      </c>
      <c r="G2676" s="8" t="s">
        <v>32</v>
      </c>
      <c r="H2676" s="8"/>
      <c r="I2676" s="9" t="n">
        <v>38504</v>
      </c>
      <c r="J2676" s="8" t="s">
        <v>19</v>
      </c>
      <c r="K2676" s="8"/>
    </row>
    <row r="2677" customFormat="false" ht="12.8" hidden="false" customHeight="false" outlineLevel="0" collapsed="false">
      <c r="A2677" s="6" t="str">
        <f aca="false">HYPERLINK("https://www.fabsurplus.com/sdi_catalog/salesItemDetails.do?id=100720")</f>
        <v>https://www.fabsurplus.com/sdi_catalog/salesItemDetails.do?id=100720</v>
      </c>
      <c r="B2677" s="6" t="s">
        <v>6077</v>
      </c>
      <c r="C2677" s="6" t="s">
        <v>6070</v>
      </c>
      <c r="D2677" s="6" t="s">
        <v>6075</v>
      </c>
      <c r="E2677" s="6" t="s">
        <v>4130</v>
      </c>
      <c r="F2677" s="6" t="s">
        <v>16</v>
      </c>
      <c r="G2677" s="6" t="s">
        <v>328</v>
      </c>
      <c r="H2677" s="6" t="s">
        <v>18</v>
      </c>
      <c r="I2677" s="6"/>
      <c r="J2677" s="6" t="s">
        <v>19</v>
      </c>
      <c r="K2677" s="6"/>
    </row>
    <row r="2678" customFormat="false" ht="12.8" hidden="false" customHeight="false" outlineLevel="0" collapsed="false">
      <c r="A2678" s="8" t="str">
        <f aca="false">HYPERLINK("https://www.fabsurplus.com/sdi_catalog/salesItemDetails.do?id=97986")</f>
        <v>https://www.fabsurplus.com/sdi_catalog/salesItemDetails.do?id=97986</v>
      </c>
      <c r="B2678" s="8" t="s">
        <v>6078</v>
      </c>
      <c r="C2678" s="8" t="s">
        <v>6066</v>
      </c>
      <c r="D2678" s="8" t="s">
        <v>6079</v>
      </c>
      <c r="E2678" s="8" t="s">
        <v>6080</v>
      </c>
      <c r="F2678" s="8" t="s">
        <v>16</v>
      </c>
      <c r="G2678" s="8" t="s">
        <v>3219</v>
      </c>
      <c r="H2678" s="8"/>
      <c r="I2678" s="8"/>
      <c r="J2678" s="8" t="s">
        <v>81</v>
      </c>
      <c r="K2678" s="8"/>
    </row>
    <row r="2679" customFormat="false" ht="12.8" hidden="false" customHeight="false" outlineLevel="0" collapsed="false">
      <c r="A2679" s="6" t="str">
        <f aca="false">HYPERLINK("https://www.fabsurplus.com/sdi_catalog/salesItemDetails.do?id=97987")</f>
        <v>https://www.fabsurplus.com/sdi_catalog/salesItemDetails.do?id=97987</v>
      </c>
      <c r="B2679" s="6" t="s">
        <v>6081</v>
      </c>
      <c r="C2679" s="6" t="s">
        <v>6082</v>
      </c>
      <c r="D2679" s="6" t="s">
        <v>6083</v>
      </c>
      <c r="E2679" s="6" t="s">
        <v>719</v>
      </c>
      <c r="F2679" s="6" t="s">
        <v>16</v>
      </c>
      <c r="G2679" s="6" t="s">
        <v>880</v>
      </c>
      <c r="H2679" s="6"/>
      <c r="I2679" s="6"/>
      <c r="J2679" s="6" t="s">
        <v>81</v>
      </c>
      <c r="K2679" s="6"/>
    </row>
    <row r="2680" customFormat="false" ht="12.8" hidden="false" customHeight="false" outlineLevel="0" collapsed="false">
      <c r="A2680" s="8" t="str">
        <f aca="false">HYPERLINK("https://www.fabsurplus.com/sdi_catalog/salesItemDetails.do?id=100711")</f>
        <v>https://www.fabsurplus.com/sdi_catalog/salesItemDetails.do?id=100711</v>
      </c>
      <c r="B2680" s="8" t="s">
        <v>6084</v>
      </c>
      <c r="C2680" s="8" t="s">
        <v>6085</v>
      </c>
      <c r="D2680" s="8" t="s">
        <v>6086</v>
      </c>
      <c r="E2680" s="8" t="s">
        <v>6087</v>
      </c>
      <c r="F2680" s="8" t="s">
        <v>16</v>
      </c>
      <c r="G2680" s="8"/>
      <c r="H2680" s="8"/>
      <c r="I2680" s="8"/>
      <c r="J2680" s="8" t="s">
        <v>19</v>
      </c>
      <c r="K2680" s="8"/>
    </row>
    <row r="2681" customFormat="false" ht="12.8" hidden="false" customHeight="false" outlineLevel="0" collapsed="false">
      <c r="A2681" s="6" t="str">
        <f aca="false">HYPERLINK("https://www.fabsurplus.com/sdi_catalog/salesItemDetails.do?id=97988")</f>
        <v>https://www.fabsurplus.com/sdi_catalog/salesItemDetails.do?id=97988</v>
      </c>
      <c r="B2681" s="6" t="s">
        <v>6088</v>
      </c>
      <c r="C2681" s="6" t="s">
        <v>6089</v>
      </c>
      <c r="D2681" s="6" t="s">
        <v>6090</v>
      </c>
      <c r="E2681" s="6" t="s">
        <v>6091</v>
      </c>
      <c r="F2681" s="6" t="s">
        <v>611</v>
      </c>
      <c r="G2681" s="6" t="s">
        <v>3219</v>
      </c>
      <c r="H2681" s="6"/>
      <c r="I2681" s="6"/>
      <c r="J2681" s="6" t="s">
        <v>81</v>
      </c>
      <c r="K2681" s="6"/>
    </row>
    <row r="2682" customFormat="false" ht="12.8" hidden="false" customHeight="false" outlineLevel="0" collapsed="false">
      <c r="A2682" s="8" t="str">
        <f aca="false">HYPERLINK("https://www.fabsurplus.com/sdi_catalog/salesItemDetails.do?id=97989")</f>
        <v>https://www.fabsurplus.com/sdi_catalog/salesItemDetails.do?id=97989</v>
      </c>
      <c r="B2682" s="8" t="s">
        <v>6092</v>
      </c>
      <c r="C2682" s="8" t="s">
        <v>6089</v>
      </c>
      <c r="D2682" s="8" t="s">
        <v>6093</v>
      </c>
      <c r="E2682" s="8" t="s">
        <v>4729</v>
      </c>
      <c r="F2682" s="8" t="s">
        <v>611</v>
      </c>
      <c r="G2682" s="8" t="s">
        <v>3219</v>
      </c>
      <c r="H2682" s="8"/>
      <c r="I2682" s="8"/>
      <c r="J2682" s="8" t="s">
        <v>81</v>
      </c>
      <c r="K2682" s="8"/>
    </row>
    <row r="2683" customFormat="false" ht="12.8" hidden="false" customHeight="false" outlineLevel="0" collapsed="false">
      <c r="A2683" s="6" t="str">
        <f aca="false">HYPERLINK("https://www.fabsurplus.com/sdi_catalog/salesItemDetails.do?id=100712")</f>
        <v>https://www.fabsurplus.com/sdi_catalog/salesItemDetails.do?id=100712</v>
      </c>
      <c r="B2683" s="6" t="s">
        <v>6094</v>
      </c>
      <c r="C2683" s="6" t="s">
        <v>619</v>
      </c>
      <c r="D2683" s="6" t="s">
        <v>6095</v>
      </c>
      <c r="E2683" s="6" t="s">
        <v>6096</v>
      </c>
      <c r="F2683" s="6" t="s">
        <v>16</v>
      </c>
      <c r="G2683" s="6"/>
      <c r="H2683" s="6"/>
      <c r="I2683" s="7" t="n">
        <v>41061</v>
      </c>
      <c r="J2683" s="6" t="s">
        <v>19</v>
      </c>
      <c r="K2683" s="6"/>
    </row>
    <row r="2684" customFormat="false" ht="12.8" hidden="false" customHeight="false" outlineLevel="0" collapsed="false">
      <c r="A2684" s="8" t="str">
        <f aca="false">HYPERLINK("https://www.fabsurplus.com/sdi_catalog/salesItemDetails.do?id=99374")</f>
        <v>https://www.fabsurplus.com/sdi_catalog/salesItemDetails.do?id=99374</v>
      </c>
      <c r="B2684" s="8" t="s">
        <v>6097</v>
      </c>
      <c r="C2684" s="8" t="s">
        <v>6098</v>
      </c>
      <c r="D2684" s="8" t="s">
        <v>6099</v>
      </c>
      <c r="E2684" s="8" t="s">
        <v>6100</v>
      </c>
      <c r="F2684" s="8" t="s">
        <v>16</v>
      </c>
      <c r="G2684" s="8"/>
      <c r="H2684" s="8"/>
      <c r="I2684" s="9" t="n">
        <v>34851</v>
      </c>
      <c r="J2684" s="8" t="s">
        <v>19</v>
      </c>
      <c r="K2684" s="8"/>
    </row>
    <row r="2685" customFormat="false" ht="12.8" hidden="false" customHeight="false" outlineLevel="0" collapsed="false">
      <c r="A2685" s="6" t="str">
        <f aca="false">HYPERLINK("https://www.fabsurplus.com/sdi_catalog/salesItemDetails.do?id=99375")</f>
        <v>https://www.fabsurplus.com/sdi_catalog/salesItemDetails.do?id=99375</v>
      </c>
      <c r="B2685" s="6" t="s">
        <v>6101</v>
      </c>
      <c r="C2685" s="6" t="s">
        <v>6098</v>
      </c>
      <c r="D2685" s="6" t="s">
        <v>6102</v>
      </c>
      <c r="E2685" s="6" t="s">
        <v>6103</v>
      </c>
      <c r="F2685" s="6" t="s">
        <v>16</v>
      </c>
      <c r="G2685" s="6"/>
      <c r="H2685" s="6"/>
      <c r="I2685" s="7" t="n">
        <v>34851</v>
      </c>
      <c r="J2685" s="6" t="s">
        <v>19</v>
      </c>
      <c r="K2685" s="6"/>
    </row>
    <row r="2686" customFormat="false" ht="12.8" hidden="false" customHeight="false" outlineLevel="0" collapsed="false">
      <c r="A2686" s="8" t="str">
        <f aca="false">HYPERLINK("https://www.fabsurplus.com/sdi_catalog/salesItemDetails.do?id=98849")</f>
        <v>https://www.fabsurplus.com/sdi_catalog/salesItemDetails.do?id=98849</v>
      </c>
      <c r="B2686" s="8" t="s">
        <v>6104</v>
      </c>
      <c r="C2686" s="8" t="s">
        <v>6105</v>
      </c>
      <c r="D2686" s="8" t="s">
        <v>6106</v>
      </c>
      <c r="E2686" s="8" t="s">
        <v>1432</v>
      </c>
      <c r="F2686" s="8" t="s">
        <v>16</v>
      </c>
      <c r="G2686" s="8" t="s">
        <v>310</v>
      </c>
      <c r="H2686" s="8"/>
      <c r="I2686" s="9" t="n">
        <v>37681</v>
      </c>
      <c r="J2686" s="8" t="s">
        <v>19</v>
      </c>
      <c r="K2686" s="8"/>
    </row>
    <row r="2687" customFormat="false" ht="12.8" hidden="false" customHeight="false" outlineLevel="0" collapsed="false">
      <c r="A2687" s="6" t="str">
        <f aca="false">HYPERLINK("https://www.fabsurplus.com/sdi_catalog/salesItemDetails.do?id=97107")</f>
        <v>https://www.fabsurplus.com/sdi_catalog/salesItemDetails.do?id=97107</v>
      </c>
      <c r="B2687" s="6" t="s">
        <v>6107</v>
      </c>
      <c r="C2687" s="6" t="s">
        <v>6108</v>
      </c>
      <c r="D2687" s="6" t="s">
        <v>6109</v>
      </c>
      <c r="E2687" s="6" t="s">
        <v>6110</v>
      </c>
      <c r="F2687" s="6" t="s">
        <v>16</v>
      </c>
      <c r="G2687" s="6"/>
      <c r="H2687" s="6"/>
      <c r="I2687" s="7" t="n">
        <v>40695</v>
      </c>
      <c r="J2687" s="6" t="s">
        <v>19</v>
      </c>
      <c r="K2687" s="6"/>
    </row>
    <row r="2688" customFormat="false" ht="12.8" hidden="false" customHeight="false" outlineLevel="0" collapsed="false">
      <c r="A2688" s="8" t="str">
        <f aca="false">HYPERLINK("https://www.fabsurplus.com/sdi_catalog/salesItemDetails.do?id=99376")</f>
        <v>https://www.fabsurplus.com/sdi_catalog/salesItemDetails.do?id=99376</v>
      </c>
      <c r="B2688" s="8" t="s">
        <v>6111</v>
      </c>
      <c r="C2688" s="8" t="s">
        <v>6112</v>
      </c>
      <c r="D2688" s="8" t="s">
        <v>6113</v>
      </c>
      <c r="E2688" s="8" t="s">
        <v>6114</v>
      </c>
      <c r="F2688" s="8" t="s">
        <v>16</v>
      </c>
      <c r="G2688" s="8"/>
      <c r="H2688" s="8"/>
      <c r="I2688" s="9" t="n">
        <v>36678</v>
      </c>
      <c r="J2688" s="8" t="s">
        <v>19</v>
      </c>
      <c r="K2688" s="8"/>
    </row>
    <row r="2689" customFormat="false" ht="12.8" hidden="false" customHeight="false" outlineLevel="0" collapsed="false">
      <c r="A2689" s="8" t="str">
        <f aca="false">HYPERLINK("https://www.fabsurplus.com/sdi_catalog/salesItemDetails.do?id=98498")</f>
        <v>https://www.fabsurplus.com/sdi_catalog/salesItemDetails.do?id=98498</v>
      </c>
      <c r="B2689" s="8" t="s">
        <v>6115</v>
      </c>
      <c r="C2689" s="8" t="s">
        <v>6116</v>
      </c>
      <c r="D2689" s="8" t="s">
        <v>6117</v>
      </c>
      <c r="E2689" s="8" t="s">
        <v>6118</v>
      </c>
      <c r="F2689" s="8" t="s">
        <v>611</v>
      </c>
      <c r="G2689" s="8" t="s">
        <v>686</v>
      </c>
      <c r="H2689" s="8"/>
      <c r="I2689" s="8"/>
      <c r="J2689" s="8" t="s">
        <v>19</v>
      </c>
      <c r="K2689" s="8"/>
    </row>
    <row r="2690" customFormat="false" ht="12.8" hidden="false" customHeight="false" outlineLevel="0" collapsed="false">
      <c r="A2690" s="6" t="str">
        <f aca="false">HYPERLINK("https://www.fabsurplus.com/sdi_catalog/salesItemDetails.do?id=98499")</f>
        <v>https://www.fabsurplus.com/sdi_catalog/salesItemDetails.do?id=98499</v>
      </c>
      <c r="B2690" s="6" t="s">
        <v>6119</v>
      </c>
      <c r="C2690" s="6" t="s">
        <v>6116</v>
      </c>
      <c r="D2690" s="6" t="s">
        <v>6120</v>
      </c>
      <c r="E2690" s="6" t="s">
        <v>6121</v>
      </c>
      <c r="F2690" s="6" t="s">
        <v>611</v>
      </c>
      <c r="G2690" s="6" t="s">
        <v>686</v>
      </c>
      <c r="H2690" s="6"/>
      <c r="I2690" s="6"/>
      <c r="J2690" s="6" t="s">
        <v>19</v>
      </c>
      <c r="K2690" s="6"/>
    </row>
    <row r="2691" customFormat="false" ht="12.8" hidden="false" customHeight="false" outlineLevel="0" collapsed="false">
      <c r="A2691" s="8" t="str">
        <f aca="false">HYPERLINK("https://www.fabsurplus.com/sdi_catalog/salesItemDetails.do?id=97990")</f>
        <v>https://www.fabsurplus.com/sdi_catalog/salesItemDetails.do?id=97990</v>
      </c>
      <c r="B2691" s="8" t="s">
        <v>6122</v>
      </c>
      <c r="C2691" s="8" t="s">
        <v>6123</v>
      </c>
      <c r="D2691" s="8" t="s">
        <v>6124</v>
      </c>
      <c r="E2691" s="8" t="s">
        <v>3804</v>
      </c>
      <c r="F2691" s="8" t="s">
        <v>16</v>
      </c>
      <c r="G2691" s="8"/>
      <c r="H2691" s="8"/>
      <c r="I2691" s="8"/>
      <c r="J2691" s="8" t="s">
        <v>81</v>
      </c>
      <c r="K2691" s="8"/>
    </row>
    <row r="2692" customFormat="false" ht="12.8" hidden="false" customHeight="false" outlineLevel="0" collapsed="false">
      <c r="A2692" s="8" t="str">
        <f aca="false">HYPERLINK("https://www.fabsurplus.com/sdi_catalog/salesItemDetails.do?id=98442")</f>
        <v>https://www.fabsurplus.com/sdi_catalog/salesItemDetails.do?id=98442</v>
      </c>
      <c r="B2692" s="8" t="s">
        <v>6125</v>
      </c>
      <c r="C2692" s="8" t="s">
        <v>6126</v>
      </c>
      <c r="D2692" s="8" t="s">
        <v>6127</v>
      </c>
      <c r="E2692" s="8" t="s">
        <v>2434</v>
      </c>
      <c r="F2692" s="8" t="s">
        <v>16</v>
      </c>
      <c r="G2692" s="8" t="s">
        <v>372</v>
      </c>
      <c r="H2692" s="8"/>
      <c r="I2692" s="8"/>
      <c r="J2692" s="8" t="s">
        <v>19</v>
      </c>
      <c r="K2692" s="8"/>
    </row>
    <row r="2693" customFormat="false" ht="12.8" hidden="false" customHeight="false" outlineLevel="0" collapsed="false">
      <c r="A2693" s="6" t="str">
        <f aca="false">HYPERLINK("https://www.fabsurplus.com/sdi_catalog/salesItemDetails.do?id=98019")</f>
        <v>https://www.fabsurplus.com/sdi_catalog/salesItemDetails.do?id=98019</v>
      </c>
      <c r="B2693" s="6" t="s">
        <v>6128</v>
      </c>
      <c r="C2693" s="6" t="s">
        <v>6126</v>
      </c>
      <c r="D2693" s="6" t="s">
        <v>913</v>
      </c>
      <c r="E2693" s="6" t="s">
        <v>6129</v>
      </c>
      <c r="F2693" s="6" t="s">
        <v>16</v>
      </c>
      <c r="G2693" s="6"/>
      <c r="H2693" s="6"/>
      <c r="I2693" s="6"/>
      <c r="J2693" s="6" t="s">
        <v>19</v>
      </c>
      <c r="K2693" s="6"/>
    </row>
    <row r="2694" customFormat="false" ht="12.8" hidden="false" customHeight="false" outlineLevel="0" collapsed="false">
      <c r="A2694" s="6" t="str">
        <f aca="false">HYPERLINK("https://www.fabsurplus.com/sdi_catalog/salesItemDetails.do?id=100864")</f>
        <v>https://www.fabsurplus.com/sdi_catalog/salesItemDetails.do?id=100864</v>
      </c>
      <c r="B2694" s="6" t="s">
        <v>6130</v>
      </c>
      <c r="C2694" s="6" t="s">
        <v>6131</v>
      </c>
      <c r="D2694" s="6" t="s">
        <v>6132</v>
      </c>
      <c r="E2694" s="6" t="s">
        <v>2434</v>
      </c>
      <c r="F2694" s="6" t="s">
        <v>16</v>
      </c>
      <c r="G2694" s="6" t="s">
        <v>2434</v>
      </c>
      <c r="H2694" s="6"/>
      <c r="I2694" s="7" t="n">
        <v>35947</v>
      </c>
      <c r="J2694" s="6" t="s">
        <v>19</v>
      </c>
      <c r="K2694" s="6"/>
    </row>
    <row r="2695" customFormat="false" ht="12.8" hidden="false" customHeight="false" outlineLevel="0" collapsed="false">
      <c r="A2695" s="6" t="str">
        <f aca="false">HYPERLINK("https://www.fabsurplus.com/sdi_catalog/salesItemDetails.do?id=98217")</f>
        <v>https://www.fabsurplus.com/sdi_catalog/salesItemDetails.do?id=98217</v>
      </c>
      <c r="B2695" s="6" t="s">
        <v>6133</v>
      </c>
      <c r="C2695" s="6" t="s">
        <v>6134</v>
      </c>
      <c r="D2695" s="6" t="s">
        <v>6135</v>
      </c>
      <c r="E2695" s="6" t="s">
        <v>6136</v>
      </c>
      <c r="F2695" s="6" t="s">
        <v>16</v>
      </c>
      <c r="G2695" s="6"/>
      <c r="H2695" s="6" t="s">
        <v>18</v>
      </c>
      <c r="I2695" s="7" t="n">
        <v>39600</v>
      </c>
      <c r="J2695" s="6" t="s">
        <v>19</v>
      </c>
      <c r="K2695" s="6" t="s">
        <v>20</v>
      </c>
    </row>
    <row r="2696" customFormat="false" ht="12.8" hidden="false" customHeight="false" outlineLevel="0" collapsed="false">
      <c r="A2696" s="6" t="str">
        <f aca="false">HYPERLINK("https://www.fabsurplus.com/sdi_catalog/salesItemDetails.do?id=100687")</f>
        <v>https://www.fabsurplus.com/sdi_catalog/salesItemDetails.do?id=100687</v>
      </c>
      <c r="B2696" s="6" t="s">
        <v>6137</v>
      </c>
      <c r="C2696" s="6" t="s">
        <v>6138</v>
      </c>
      <c r="D2696" s="6" t="s">
        <v>6139</v>
      </c>
      <c r="E2696" s="6" t="s">
        <v>586</v>
      </c>
      <c r="F2696" s="6" t="s">
        <v>16</v>
      </c>
      <c r="G2696" s="6" t="s">
        <v>38</v>
      </c>
      <c r="H2696" s="6"/>
      <c r="I2696" s="6"/>
      <c r="J2696" s="6" t="s">
        <v>19</v>
      </c>
      <c r="K2696" s="6"/>
    </row>
    <row r="2697" customFormat="false" ht="12.8" hidden="false" customHeight="false" outlineLevel="0" collapsed="false">
      <c r="A2697" s="8" t="str">
        <f aca="false">HYPERLINK("https://www.fabsurplus.com/sdi_catalog/salesItemDetails.do?id=100688")</f>
        <v>https://www.fabsurplus.com/sdi_catalog/salesItemDetails.do?id=100688</v>
      </c>
      <c r="B2697" s="8" t="s">
        <v>6140</v>
      </c>
      <c r="C2697" s="8" t="s">
        <v>6138</v>
      </c>
      <c r="D2697" s="8" t="s">
        <v>6141</v>
      </c>
      <c r="E2697" s="8" t="s">
        <v>586</v>
      </c>
      <c r="F2697" s="8" t="s">
        <v>913</v>
      </c>
      <c r="G2697" s="8" t="s">
        <v>38</v>
      </c>
      <c r="H2697" s="8"/>
      <c r="I2697" s="8"/>
      <c r="J2697" s="8" t="s">
        <v>19</v>
      </c>
      <c r="K2697" s="8"/>
    </row>
    <row r="2698" customFormat="false" ht="12.8" hidden="false" customHeight="false" outlineLevel="0" collapsed="false">
      <c r="A2698" s="6" t="str">
        <f aca="false">HYPERLINK("https://www.fabsurplus.com/sdi_catalog/salesItemDetails.do?id=100689")</f>
        <v>https://www.fabsurplus.com/sdi_catalog/salesItemDetails.do?id=100689</v>
      </c>
      <c r="B2698" s="6" t="s">
        <v>6142</v>
      </c>
      <c r="C2698" s="6" t="s">
        <v>6138</v>
      </c>
      <c r="D2698" s="6" t="s">
        <v>6143</v>
      </c>
      <c r="E2698" s="6" t="s">
        <v>586</v>
      </c>
      <c r="F2698" s="6" t="s">
        <v>16</v>
      </c>
      <c r="G2698" s="6" t="s">
        <v>38</v>
      </c>
      <c r="H2698" s="6"/>
      <c r="I2698" s="6"/>
      <c r="J2698" s="6" t="s">
        <v>19</v>
      </c>
      <c r="K2698" s="6"/>
    </row>
    <row r="2699" customFormat="false" ht="12.8" hidden="false" customHeight="false" outlineLevel="0" collapsed="false">
      <c r="A2699" s="8" t="str">
        <f aca="false">HYPERLINK("https://www.fabsurplus.com/sdi_catalog/salesItemDetails.do?id=100690")</f>
        <v>https://www.fabsurplus.com/sdi_catalog/salesItemDetails.do?id=100690</v>
      </c>
      <c r="B2699" s="8" t="s">
        <v>6144</v>
      </c>
      <c r="C2699" s="8" t="s">
        <v>6138</v>
      </c>
      <c r="D2699" s="8" t="s">
        <v>6145</v>
      </c>
      <c r="E2699" s="8" t="s">
        <v>586</v>
      </c>
      <c r="F2699" s="8" t="s">
        <v>742</v>
      </c>
      <c r="G2699" s="8" t="s">
        <v>38</v>
      </c>
      <c r="H2699" s="8"/>
      <c r="I2699" s="8"/>
      <c r="J2699" s="8" t="s">
        <v>19</v>
      </c>
      <c r="K2699" s="8"/>
    </row>
    <row r="2700" customFormat="false" ht="12.8" hidden="false" customHeight="false" outlineLevel="0" collapsed="false">
      <c r="A2700" s="6" t="str">
        <f aca="false">HYPERLINK("https://www.fabsurplus.com/sdi_catalog/salesItemDetails.do?id=100691")</f>
        <v>https://www.fabsurplus.com/sdi_catalog/salesItemDetails.do?id=100691</v>
      </c>
      <c r="B2700" s="6" t="s">
        <v>6146</v>
      </c>
      <c r="C2700" s="6" t="s">
        <v>6138</v>
      </c>
      <c r="D2700" s="6" t="s">
        <v>6147</v>
      </c>
      <c r="E2700" s="6" t="s">
        <v>731</v>
      </c>
      <c r="F2700" s="6" t="s">
        <v>611</v>
      </c>
      <c r="G2700" s="6" t="s">
        <v>38</v>
      </c>
      <c r="H2700" s="6"/>
      <c r="I2700" s="6"/>
      <c r="J2700" s="6" t="s">
        <v>19</v>
      </c>
      <c r="K2700" s="6"/>
    </row>
    <row r="2701" customFormat="false" ht="12.8" hidden="false" customHeight="false" outlineLevel="0" collapsed="false">
      <c r="A2701" s="8" t="str">
        <f aca="false">HYPERLINK("https://www.fabsurplus.com/sdi_catalog/salesItemDetails.do?id=100692")</f>
        <v>https://www.fabsurplus.com/sdi_catalog/salesItemDetails.do?id=100692</v>
      </c>
      <c r="B2701" s="8" t="s">
        <v>6148</v>
      </c>
      <c r="C2701" s="8" t="s">
        <v>6138</v>
      </c>
      <c r="D2701" s="8" t="s">
        <v>6149</v>
      </c>
      <c r="E2701" s="8" t="s">
        <v>731</v>
      </c>
      <c r="F2701" s="8" t="s">
        <v>611</v>
      </c>
      <c r="G2701" s="8" t="s">
        <v>38</v>
      </c>
      <c r="H2701" s="8"/>
      <c r="I2701" s="8"/>
      <c r="J2701" s="8" t="s">
        <v>19</v>
      </c>
      <c r="K2701" s="8"/>
    </row>
    <row r="2702" customFormat="false" ht="12.8" hidden="false" customHeight="false" outlineLevel="0" collapsed="false">
      <c r="A2702" s="8" t="str">
        <f aca="false">HYPERLINK("https://www.fabsurplus.com/sdi_catalog/salesItemDetails.do?id=97991")</f>
        <v>https://www.fabsurplus.com/sdi_catalog/salesItemDetails.do?id=97991</v>
      </c>
      <c r="B2702" s="8" t="s">
        <v>6150</v>
      </c>
      <c r="C2702" s="8" t="s">
        <v>6151</v>
      </c>
      <c r="D2702" s="8" t="s">
        <v>6152</v>
      </c>
      <c r="E2702" s="8" t="s">
        <v>762</v>
      </c>
      <c r="F2702" s="8" t="s">
        <v>16</v>
      </c>
      <c r="G2702" s="8" t="s">
        <v>38</v>
      </c>
      <c r="H2702" s="8"/>
      <c r="I2702" s="8"/>
      <c r="J2702" s="8" t="s">
        <v>81</v>
      </c>
      <c r="K2702" s="8"/>
    </row>
    <row r="2703" customFormat="false" ht="12.8" hidden="false" customHeight="false" outlineLevel="0" collapsed="false">
      <c r="A2703" s="6" t="str">
        <f aca="false">HYPERLINK("https://www.fabsurplus.com/sdi_catalog/salesItemDetails.do?id=100693")</f>
        <v>https://www.fabsurplus.com/sdi_catalog/salesItemDetails.do?id=100693</v>
      </c>
      <c r="B2703" s="6" t="s">
        <v>6153</v>
      </c>
      <c r="C2703" s="6" t="s">
        <v>6138</v>
      </c>
      <c r="D2703" s="6" t="s">
        <v>6154</v>
      </c>
      <c r="E2703" s="6" t="s">
        <v>6155</v>
      </c>
      <c r="F2703" s="6" t="s">
        <v>16</v>
      </c>
      <c r="G2703" s="6" t="s">
        <v>38</v>
      </c>
      <c r="H2703" s="6"/>
      <c r="I2703" s="6"/>
      <c r="J2703" s="6" t="s">
        <v>19</v>
      </c>
      <c r="K2703" s="6"/>
    </row>
    <row r="2704" customFormat="false" ht="12.8" hidden="false" customHeight="false" outlineLevel="0" collapsed="false">
      <c r="A2704" s="6" t="str">
        <f aca="false">HYPERLINK("https://www.fabsurplus.com/sdi_catalog/salesItemDetails.do?id=97992")</f>
        <v>https://www.fabsurplus.com/sdi_catalog/salesItemDetails.do?id=97992</v>
      </c>
      <c r="B2704" s="6" t="s">
        <v>6156</v>
      </c>
      <c r="C2704" s="6" t="s">
        <v>6151</v>
      </c>
      <c r="D2704" s="6" t="s">
        <v>6157</v>
      </c>
      <c r="E2704" s="6" t="s">
        <v>762</v>
      </c>
      <c r="F2704" s="6" t="s">
        <v>16</v>
      </c>
      <c r="G2704" s="6" t="s">
        <v>38</v>
      </c>
      <c r="H2704" s="6"/>
      <c r="I2704" s="6"/>
      <c r="J2704" s="6" t="s">
        <v>81</v>
      </c>
      <c r="K2704" s="6"/>
    </row>
    <row r="2705" customFormat="false" ht="12.8" hidden="false" customHeight="false" outlineLevel="0" collapsed="false">
      <c r="A2705" s="6" t="str">
        <f aca="false">HYPERLINK("https://www.fabsurplus.com/sdi_catalog/salesItemDetails.do?id=97108")</f>
        <v>https://www.fabsurplus.com/sdi_catalog/salesItemDetails.do?id=97108</v>
      </c>
      <c r="B2705" s="6" t="s">
        <v>6158</v>
      </c>
      <c r="C2705" s="6" t="s">
        <v>6159</v>
      </c>
      <c r="D2705" s="6" t="s">
        <v>6160</v>
      </c>
      <c r="E2705" s="6" t="s">
        <v>617</v>
      </c>
      <c r="F2705" s="6" t="s">
        <v>16</v>
      </c>
      <c r="G2705" s="6"/>
      <c r="H2705" s="6"/>
      <c r="I2705" s="6"/>
      <c r="J2705" s="6" t="s">
        <v>19</v>
      </c>
      <c r="K2705" s="6"/>
    </row>
    <row r="2706" customFormat="false" ht="12.8" hidden="false" customHeight="false" outlineLevel="0" collapsed="false">
      <c r="A2706" s="8" t="str">
        <f aca="false">HYPERLINK("https://www.fabsurplus.com/sdi_catalog/salesItemDetails.do?id=97610")</f>
        <v>https://www.fabsurplus.com/sdi_catalog/salesItemDetails.do?id=97610</v>
      </c>
      <c r="B2706" s="8" t="s">
        <v>6161</v>
      </c>
      <c r="C2706" s="8" t="s">
        <v>6159</v>
      </c>
      <c r="D2706" s="8" t="s">
        <v>6162</v>
      </c>
      <c r="E2706" s="8" t="s">
        <v>4045</v>
      </c>
      <c r="F2706" s="8" t="s">
        <v>16</v>
      </c>
      <c r="G2706" s="8" t="s">
        <v>310</v>
      </c>
      <c r="H2706" s="8"/>
      <c r="I2706" s="8"/>
      <c r="J2706" s="8" t="s">
        <v>19</v>
      </c>
      <c r="K2706" s="8"/>
    </row>
    <row r="2707" customFormat="false" ht="12.8" hidden="false" customHeight="false" outlineLevel="0" collapsed="false">
      <c r="A2707" s="8" t="str">
        <f aca="false">HYPERLINK("https://www.fabsurplus.com/sdi_catalog/salesItemDetails.do?id=98211")</f>
        <v>https://www.fabsurplus.com/sdi_catalog/salesItemDetails.do?id=98211</v>
      </c>
      <c r="B2707" s="8" t="s">
        <v>6163</v>
      </c>
      <c r="C2707" s="8" t="s">
        <v>6159</v>
      </c>
      <c r="D2707" s="8" t="s">
        <v>6164</v>
      </c>
      <c r="E2707" s="8" t="s">
        <v>2884</v>
      </c>
      <c r="F2707" s="8" t="s">
        <v>16</v>
      </c>
      <c r="G2707" s="8"/>
      <c r="H2707" s="8"/>
      <c r="I2707" s="8"/>
      <c r="J2707" s="8" t="s">
        <v>81</v>
      </c>
      <c r="K2707" s="8"/>
    </row>
    <row r="2708" customFormat="false" ht="12.8" hidden="false" customHeight="false" outlineLevel="0" collapsed="false">
      <c r="A2708" s="8" t="str">
        <f aca="false">HYPERLINK("https://www.fabsurplus.com/sdi_catalog/salesItemDetails.do?id=97993")</f>
        <v>https://www.fabsurplus.com/sdi_catalog/salesItemDetails.do?id=97993</v>
      </c>
      <c r="B2708" s="8" t="s">
        <v>6165</v>
      </c>
      <c r="C2708" s="8" t="s">
        <v>6166</v>
      </c>
      <c r="D2708" s="8" t="s">
        <v>6167</v>
      </c>
      <c r="E2708" s="8" t="s">
        <v>4729</v>
      </c>
      <c r="F2708" s="8" t="s">
        <v>626</v>
      </c>
      <c r="G2708" s="8" t="s">
        <v>3219</v>
      </c>
      <c r="H2708" s="8"/>
      <c r="I2708" s="8"/>
      <c r="J2708" s="8" t="s">
        <v>81</v>
      </c>
      <c r="K2708" s="8"/>
    </row>
    <row r="2709" customFormat="false" ht="12.8" hidden="false" customHeight="false" outlineLevel="0" collapsed="false">
      <c r="A2709" s="6" t="str">
        <f aca="false">HYPERLINK("https://www.fabsurplus.com/sdi_catalog/salesItemDetails.do?id=97994")</f>
        <v>https://www.fabsurplus.com/sdi_catalog/salesItemDetails.do?id=97994</v>
      </c>
      <c r="B2709" s="6" t="s">
        <v>6168</v>
      </c>
      <c r="C2709" s="6" t="s">
        <v>6166</v>
      </c>
      <c r="D2709" s="6" t="s">
        <v>6169</v>
      </c>
      <c r="E2709" s="6" t="s">
        <v>6091</v>
      </c>
      <c r="F2709" s="6" t="s">
        <v>2540</v>
      </c>
      <c r="G2709" s="6" t="s">
        <v>3219</v>
      </c>
      <c r="H2709" s="6"/>
      <c r="I2709" s="6"/>
      <c r="J2709" s="6" t="s">
        <v>81</v>
      </c>
      <c r="K2709" s="6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2020-08-05T18:42:02Z</dcterms:created>
  <dc:creator/>
  <dc:description/>
  <dc:language>en-US</dc:language>
  <cp:lastModifiedBy/>
  <dcterms:modified xsi:type="dcterms:W3CDTF">2020-08-05T18:58:54Z</dcterms:modified>
  <cp:revision>3</cp:revision>
  <dc:subject/>
  <dc:title/>
</cp:coreProperties>
</file>